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25\Procurement\2025 Open Tenders\2025.071 - Construction of the Scrap Metal Recovery Facility in Wallis\"/>
    </mc:Choice>
  </mc:AlternateContent>
  <xr:revisionPtr revIDLastSave="0" documentId="8_{83C68D5B-E665-4291-B391-7E40F5426533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SUCCINCT" sheetId="35" r:id="rId1"/>
    <sheet name="DPGF vBF" sheetId="33" r:id="rId2"/>
  </sheets>
  <definedNames>
    <definedName name="_xlnm.Print_Area" localSheetId="1">'DPGF vBF'!$A$1:$N$90</definedName>
    <definedName name="_xlnm.Print_Area" localSheetId="0">SUCCINCT!$A$1:$P$99</definedName>
    <definedName name="_xlnm.Print_Titles" localSheetId="1">'DPGF vBF'!$1:$2</definedName>
    <definedName name="_xlnm.Print_Titles" localSheetId="0">SUCCINCT!$1:$2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5" i="35" l="1"/>
  <c r="N115" i="35"/>
  <c r="H115" i="35"/>
  <c r="H109" i="33"/>
  <c r="J109" i="33"/>
  <c r="L109" i="33"/>
  <c r="N109" i="33"/>
  <c r="O109" i="33"/>
  <c r="P109" i="33" l="1"/>
  <c r="F114" i="35"/>
  <c r="F113" i="35"/>
  <c r="F112" i="35"/>
  <c r="L115" i="35"/>
  <c r="H72" i="33"/>
  <c r="J72" i="33"/>
  <c r="L72" i="33"/>
  <c r="N72" i="33"/>
  <c r="O71" i="33"/>
  <c r="P71" i="33"/>
  <c r="O98" i="33"/>
  <c r="P98" i="33"/>
  <c r="P112" i="33"/>
  <c r="O112" i="33"/>
  <c r="O110" i="33"/>
  <c r="N110" i="33"/>
  <c r="L110" i="33"/>
  <c r="J110" i="33"/>
  <c r="H110" i="33"/>
  <c r="O108" i="33"/>
  <c r="N108" i="33"/>
  <c r="L108" i="33"/>
  <c r="J108" i="33"/>
  <c r="H108" i="33"/>
  <c r="P107" i="33"/>
  <c r="O107" i="33"/>
  <c r="O105" i="33"/>
  <c r="N105" i="33"/>
  <c r="L105" i="33"/>
  <c r="J105" i="33"/>
  <c r="H105" i="33"/>
  <c r="O104" i="33"/>
  <c r="N104" i="33"/>
  <c r="L104" i="33"/>
  <c r="J104" i="33"/>
  <c r="H104" i="33"/>
  <c r="O103" i="33"/>
  <c r="N103" i="33"/>
  <c r="L103" i="33"/>
  <c r="J103" i="33"/>
  <c r="H103" i="33"/>
  <c r="D102" i="33"/>
  <c r="O100" i="33"/>
  <c r="N100" i="33"/>
  <c r="L100" i="33"/>
  <c r="J100" i="33"/>
  <c r="H100" i="33"/>
  <c r="O99" i="33"/>
  <c r="N99" i="33"/>
  <c r="L99" i="33"/>
  <c r="J99" i="33"/>
  <c r="H99" i="33"/>
  <c r="C105" i="35"/>
  <c r="O94" i="35"/>
  <c r="P94" i="35" s="1"/>
  <c r="O93" i="35"/>
  <c r="P93" i="35" s="1"/>
  <c r="F93" i="35"/>
  <c r="O92" i="35"/>
  <c r="Q92" i="35" s="1"/>
  <c r="N92" i="35"/>
  <c r="L92" i="35"/>
  <c r="J92" i="35"/>
  <c r="H92" i="35"/>
  <c r="F92" i="35"/>
  <c r="Q91" i="35"/>
  <c r="Q89" i="35"/>
  <c r="N89" i="35"/>
  <c r="L89" i="35"/>
  <c r="J89" i="35"/>
  <c r="H89" i="35"/>
  <c r="F89" i="35"/>
  <c r="Q88" i="35"/>
  <c r="N88" i="35"/>
  <c r="N117" i="35" s="1"/>
  <c r="L88" i="35"/>
  <c r="J88" i="35"/>
  <c r="J117" i="35" s="1"/>
  <c r="H88" i="35"/>
  <c r="H117" i="35" s="1"/>
  <c r="F88" i="35"/>
  <c r="Q87" i="35"/>
  <c r="N87" i="35"/>
  <c r="L87" i="35"/>
  <c r="J87" i="35"/>
  <c r="H87" i="35"/>
  <c r="F87" i="35"/>
  <c r="Q86" i="35"/>
  <c r="S86" i="35"/>
  <c r="N86" i="35"/>
  <c r="L86" i="35"/>
  <c r="J86" i="35"/>
  <c r="H86" i="35"/>
  <c r="F86" i="35"/>
  <c r="Q85" i="35"/>
  <c r="N85" i="35"/>
  <c r="L85" i="35"/>
  <c r="J85" i="35"/>
  <c r="H85" i="35"/>
  <c r="F85" i="35"/>
  <c r="O84" i="35"/>
  <c r="Q84" i="35" s="1"/>
  <c r="N84" i="35"/>
  <c r="L84" i="35"/>
  <c r="J84" i="35"/>
  <c r="H84" i="35"/>
  <c r="F84" i="35"/>
  <c r="Q83" i="35"/>
  <c r="N83" i="35"/>
  <c r="L83" i="35"/>
  <c r="J83" i="35"/>
  <c r="H83" i="35"/>
  <c r="F83" i="35"/>
  <c r="O82" i="35"/>
  <c r="Q82" i="35" s="1"/>
  <c r="N82" i="35"/>
  <c r="L82" i="35"/>
  <c r="J82" i="35"/>
  <c r="H82" i="35"/>
  <c r="F82" i="35"/>
  <c r="Q81" i="35"/>
  <c r="N81" i="35"/>
  <c r="L81" i="35"/>
  <c r="J81" i="35"/>
  <c r="H81" i="35"/>
  <c r="F81" i="35"/>
  <c r="Q80" i="35"/>
  <c r="Q78" i="35"/>
  <c r="S78" i="35"/>
  <c r="N78" i="35"/>
  <c r="L78" i="35"/>
  <c r="J78" i="35"/>
  <c r="H78" i="35"/>
  <c r="O77" i="35"/>
  <c r="N77" i="35"/>
  <c r="L77" i="35"/>
  <c r="J77" i="35"/>
  <c r="H77" i="35"/>
  <c r="Q76" i="35"/>
  <c r="N76" i="35"/>
  <c r="L76" i="35"/>
  <c r="J76" i="35"/>
  <c r="H76" i="35"/>
  <c r="F76" i="35"/>
  <c r="O75" i="35"/>
  <c r="D75" i="35"/>
  <c r="S74" i="35"/>
  <c r="O73" i="35"/>
  <c r="Q73" i="35" s="1"/>
  <c r="N73" i="35"/>
  <c r="L73" i="35"/>
  <c r="J73" i="35"/>
  <c r="H73" i="35"/>
  <c r="F73" i="35"/>
  <c r="Q72" i="35"/>
  <c r="S72" i="35"/>
  <c r="N72" i="35"/>
  <c r="L72" i="35"/>
  <c r="J72" i="35"/>
  <c r="H72" i="35"/>
  <c r="F72" i="35"/>
  <c r="O71" i="35"/>
  <c r="N71" i="35"/>
  <c r="L71" i="35"/>
  <c r="J71" i="35"/>
  <c r="H71" i="35"/>
  <c r="F71" i="35"/>
  <c r="Q70" i="35"/>
  <c r="Q68" i="35"/>
  <c r="R68" i="35"/>
  <c r="N68" i="35"/>
  <c r="L68" i="35"/>
  <c r="J68" i="35"/>
  <c r="H68" i="35"/>
  <c r="Q67" i="35"/>
  <c r="R67" i="35"/>
  <c r="N67" i="35"/>
  <c r="L67" i="35"/>
  <c r="J67" i="35"/>
  <c r="H67" i="35"/>
  <c r="D66" i="35"/>
  <c r="Q65" i="35"/>
  <c r="N65" i="35"/>
  <c r="L65" i="35"/>
  <c r="J65" i="35"/>
  <c r="H65" i="35"/>
  <c r="F65" i="35"/>
  <c r="Q64" i="35"/>
  <c r="N64" i="35"/>
  <c r="L64" i="35"/>
  <c r="J64" i="35"/>
  <c r="F64" i="35"/>
  <c r="Q63" i="35"/>
  <c r="N63" i="35"/>
  <c r="L63" i="35"/>
  <c r="J63" i="35"/>
  <c r="F63" i="35"/>
  <c r="O62" i="35"/>
  <c r="Q62" i="35" s="1"/>
  <c r="K62" i="35"/>
  <c r="L62" i="35" s="1"/>
  <c r="J62" i="35"/>
  <c r="F62" i="35"/>
  <c r="Q61" i="35"/>
  <c r="Q54" i="35"/>
  <c r="N54" i="35"/>
  <c r="L54" i="35"/>
  <c r="J54" i="35"/>
  <c r="H54" i="35"/>
  <c r="F54" i="35"/>
  <c r="Q53" i="35"/>
  <c r="P53" i="35"/>
  <c r="N53" i="35"/>
  <c r="L53" i="35"/>
  <c r="J53" i="35"/>
  <c r="H53" i="35"/>
  <c r="F53" i="35"/>
  <c r="Q52" i="35"/>
  <c r="P52" i="35"/>
  <c r="N52" i="35"/>
  <c r="L52" i="35"/>
  <c r="J52" i="35"/>
  <c r="H52" i="35"/>
  <c r="F52" i="35"/>
  <c r="Q49" i="35"/>
  <c r="N49" i="35"/>
  <c r="L49" i="35"/>
  <c r="J49" i="35"/>
  <c r="H49" i="35"/>
  <c r="F49" i="35"/>
  <c r="Q48" i="35"/>
  <c r="N48" i="35"/>
  <c r="L48" i="35"/>
  <c r="J48" i="35"/>
  <c r="H48" i="35"/>
  <c r="F48" i="35"/>
  <c r="Q47" i="35"/>
  <c r="Q45" i="35"/>
  <c r="N45" i="35"/>
  <c r="L45" i="35"/>
  <c r="J45" i="35"/>
  <c r="H45" i="35"/>
  <c r="F45" i="35"/>
  <c r="Q42" i="35"/>
  <c r="N42" i="35"/>
  <c r="L42" i="35"/>
  <c r="J42" i="35"/>
  <c r="H42" i="35"/>
  <c r="F42" i="35"/>
  <c r="F41" i="35" s="1"/>
  <c r="Q34" i="35"/>
  <c r="P34" i="35"/>
  <c r="N34" i="35"/>
  <c r="L34" i="35"/>
  <c r="J34" i="35"/>
  <c r="H34" i="35"/>
  <c r="F34" i="35"/>
  <c r="Q33" i="35"/>
  <c r="P33" i="35"/>
  <c r="N33" i="35"/>
  <c r="L33" i="35"/>
  <c r="J33" i="35"/>
  <c r="H33" i="35"/>
  <c r="F33" i="35"/>
  <c r="Q32" i="35"/>
  <c r="Q30" i="35"/>
  <c r="D30" i="35"/>
  <c r="J30" i="35" s="1"/>
  <c r="Q29" i="35"/>
  <c r="L28" i="35"/>
  <c r="J28" i="35"/>
  <c r="H28" i="35"/>
  <c r="L27" i="35"/>
  <c r="J27" i="35"/>
  <c r="H27" i="35"/>
  <c r="Q26" i="35"/>
  <c r="Q24" i="35"/>
  <c r="N24" i="35"/>
  <c r="L24" i="35"/>
  <c r="J24" i="35"/>
  <c r="H24" i="35"/>
  <c r="F24" i="35"/>
  <c r="Q23" i="35"/>
  <c r="N23" i="35"/>
  <c r="L23" i="35"/>
  <c r="J23" i="35"/>
  <c r="H23" i="35"/>
  <c r="F23" i="35"/>
  <c r="Q22" i="35"/>
  <c r="N22" i="35"/>
  <c r="L22" i="35"/>
  <c r="J22" i="35"/>
  <c r="H22" i="35"/>
  <c r="F22" i="35"/>
  <c r="Q21" i="35"/>
  <c r="Q20" i="35"/>
  <c r="Q19" i="35"/>
  <c r="D29" i="35"/>
  <c r="Q12" i="35"/>
  <c r="R12" i="35"/>
  <c r="N12" i="35"/>
  <c r="L12" i="35"/>
  <c r="J12" i="35"/>
  <c r="H12" i="35"/>
  <c r="Q10" i="35"/>
  <c r="R10" i="35"/>
  <c r="N10" i="35"/>
  <c r="L10" i="35"/>
  <c r="J10" i="35"/>
  <c r="H10" i="35"/>
  <c r="O8" i="35"/>
  <c r="N8" i="35"/>
  <c r="L8" i="35"/>
  <c r="J8" i="35"/>
  <c r="H8" i="35"/>
  <c r="F8" i="35"/>
  <c r="Q6" i="35"/>
  <c r="N6" i="35"/>
  <c r="L6" i="35"/>
  <c r="J6" i="35"/>
  <c r="H6" i="35"/>
  <c r="F6" i="35"/>
  <c r="R87" i="35" l="1"/>
  <c r="R48" i="35"/>
  <c r="F115" i="35"/>
  <c r="F117" i="35" s="1"/>
  <c r="Q8" i="35"/>
  <c r="F14" i="35"/>
  <c r="R23" i="35"/>
  <c r="R63" i="35"/>
  <c r="R45" i="35"/>
  <c r="S73" i="35"/>
  <c r="F91" i="35"/>
  <c r="F61" i="35"/>
  <c r="L117" i="35"/>
  <c r="R64" i="35"/>
  <c r="L14" i="35"/>
  <c r="N14" i="35"/>
  <c r="O72" i="33"/>
  <c r="P72" i="33"/>
  <c r="P110" i="33"/>
  <c r="P99" i="33"/>
  <c r="P103" i="33"/>
  <c r="P105" i="33"/>
  <c r="F80" i="35"/>
  <c r="F47" i="35"/>
  <c r="L30" i="35"/>
  <c r="S75" i="35"/>
  <c r="N30" i="35"/>
  <c r="F70" i="35"/>
  <c r="R70" i="35" s="1"/>
  <c r="O28" i="35"/>
  <c r="F56" i="35"/>
  <c r="Q77" i="35"/>
  <c r="R88" i="35"/>
  <c r="F32" i="35"/>
  <c r="R53" i="35"/>
  <c r="Q71" i="35"/>
  <c r="D20" i="35"/>
  <c r="H20" i="35" s="1"/>
  <c r="R81" i="35"/>
  <c r="H14" i="35"/>
  <c r="J14" i="35"/>
  <c r="R34" i="35"/>
  <c r="R85" i="35"/>
  <c r="P54" i="35"/>
  <c r="R54" i="35" s="1"/>
  <c r="R76" i="35"/>
  <c r="R8" i="35"/>
  <c r="H56" i="35"/>
  <c r="R65" i="35"/>
  <c r="S76" i="35"/>
  <c r="R89" i="35"/>
  <c r="R84" i="35"/>
  <c r="R83" i="35"/>
  <c r="S77" i="35"/>
  <c r="R77" i="35"/>
  <c r="J96" i="35"/>
  <c r="H96" i="35"/>
  <c r="R52" i="35"/>
  <c r="F51" i="35"/>
  <c r="J56" i="35"/>
  <c r="R49" i="35"/>
  <c r="F44" i="35"/>
  <c r="L56" i="35"/>
  <c r="R42" i="35"/>
  <c r="N56" i="35"/>
  <c r="R33" i="35"/>
  <c r="R24" i="35"/>
  <c r="R22" i="35"/>
  <c r="L96" i="35"/>
  <c r="M62" i="35"/>
  <c r="N62" i="35" s="1"/>
  <c r="N96" i="35" s="1"/>
  <c r="F29" i="35"/>
  <c r="E27" i="35" s="1"/>
  <c r="F27" i="35" s="1"/>
  <c r="L29" i="35"/>
  <c r="J29" i="35"/>
  <c r="N29" i="35"/>
  <c r="M28" i="35" s="1"/>
  <c r="N28" i="35" s="1"/>
  <c r="M27" i="35" s="1"/>
  <c r="N27" i="35" s="1"/>
  <c r="H29" i="35"/>
  <c r="R71" i="35"/>
  <c r="S71" i="35"/>
  <c r="R78" i="35"/>
  <c r="D21" i="35"/>
  <c r="R6" i="35"/>
  <c r="P92" i="35"/>
  <c r="R92" i="35" s="1"/>
  <c r="F30" i="35"/>
  <c r="E28" i="35" s="1"/>
  <c r="F28" i="35" s="1"/>
  <c r="H30" i="35"/>
  <c r="R72" i="35"/>
  <c r="R86" i="35"/>
  <c r="O24" i="33"/>
  <c r="N24" i="33"/>
  <c r="L24" i="33"/>
  <c r="J24" i="33"/>
  <c r="H24" i="33"/>
  <c r="R14" i="35" l="1"/>
  <c r="F20" i="35"/>
  <c r="P117" i="35"/>
  <c r="R47" i="35"/>
  <c r="F96" i="35"/>
  <c r="L20" i="35"/>
  <c r="N20" i="35"/>
  <c r="R28" i="35"/>
  <c r="J20" i="35"/>
  <c r="R20" i="35"/>
  <c r="Q28" i="35"/>
  <c r="F26" i="35"/>
  <c r="R73" i="35"/>
  <c r="P108" i="33"/>
  <c r="P104" i="33"/>
  <c r="P100" i="33"/>
  <c r="P24" i="33"/>
  <c r="R56" i="35"/>
  <c r="R32" i="35"/>
  <c r="R82" i="35"/>
  <c r="S82" i="35"/>
  <c r="C101" i="35" s="1"/>
  <c r="R61" i="35"/>
  <c r="R30" i="35"/>
  <c r="R29" i="35"/>
  <c r="O27" i="35"/>
  <c r="R62" i="35"/>
  <c r="L21" i="35"/>
  <c r="L36" i="35" s="1"/>
  <c r="L98" i="35" s="1"/>
  <c r="H21" i="35"/>
  <c r="H36" i="35" s="1"/>
  <c r="H98" i="35" s="1"/>
  <c r="H104" i="35" s="1"/>
  <c r="F21" i="35"/>
  <c r="J21" i="35"/>
  <c r="J36" i="35" s="1"/>
  <c r="J98" i="35" s="1"/>
  <c r="N21" i="35"/>
  <c r="N36" i="35" s="1"/>
  <c r="N98" i="35" s="1"/>
  <c r="F19" i="35" l="1"/>
  <c r="R21" i="35"/>
  <c r="F36" i="35"/>
  <c r="P119" i="33"/>
  <c r="P115" i="33"/>
  <c r="Q27" i="35"/>
  <c r="L28" i="33"/>
  <c r="J28" i="33"/>
  <c r="H28" i="33"/>
  <c r="O21" i="33"/>
  <c r="O68" i="33"/>
  <c r="N68" i="33"/>
  <c r="L68" i="33"/>
  <c r="J68" i="33"/>
  <c r="H68" i="33"/>
  <c r="O25" i="33"/>
  <c r="N25" i="33"/>
  <c r="L25" i="33"/>
  <c r="J25" i="33"/>
  <c r="H25" i="33"/>
  <c r="N23" i="33"/>
  <c r="L23" i="33"/>
  <c r="J23" i="33"/>
  <c r="H23" i="33"/>
  <c r="R27" i="35" l="1"/>
  <c r="R26" i="35"/>
  <c r="R19" i="35"/>
  <c r="P68" i="33"/>
  <c r="P25" i="33"/>
  <c r="O23" i="33"/>
  <c r="P23" i="33"/>
  <c r="D67" i="33"/>
  <c r="N31" i="33"/>
  <c r="N30" i="33"/>
  <c r="M29" i="33" s="1"/>
  <c r="N29" i="33" s="1"/>
  <c r="M28" i="33" s="1"/>
  <c r="N28" i="33" s="1"/>
  <c r="O83" i="33"/>
  <c r="N83" i="33"/>
  <c r="L83" i="33"/>
  <c r="J83" i="33"/>
  <c r="H83" i="33"/>
  <c r="P82" i="33"/>
  <c r="O82" i="33"/>
  <c r="O80" i="33"/>
  <c r="N80" i="33"/>
  <c r="L80" i="33"/>
  <c r="J80" i="33"/>
  <c r="H80" i="33"/>
  <c r="O79" i="33"/>
  <c r="N79" i="33"/>
  <c r="L79" i="33"/>
  <c r="J79" i="33"/>
  <c r="H79" i="33"/>
  <c r="O78" i="33"/>
  <c r="N78" i="33"/>
  <c r="L78" i="33"/>
  <c r="J78" i="33"/>
  <c r="H78" i="33"/>
  <c r="O77" i="33"/>
  <c r="N77" i="33"/>
  <c r="L77" i="33"/>
  <c r="J77" i="33"/>
  <c r="H77" i="33"/>
  <c r="O76" i="33"/>
  <c r="N76" i="33"/>
  <c r="L76" i="33"/>
  <c r="J76" i="33"/>
  <c r="H76" i="33"/>
  <c r="P74" i="33"/>
  <c r="O74" i="33"/>
  <c r="O75" i="33"/>
  <c r="N75" i="33"/>
  <c r="L75" i="33"/>
  <c r="J75" i="33"/>
  <c r="H75" i="33"/>
  <c r="O69" i="33"/>
  <c r="N69" i="33"/>
  <c r="L69" i="33"/>
  <c r="J69" i="33"/>
  <c r="H69" i="33"/>
  <c r="O66" i="33"/>
  <c r="N66" i="33"/>
  <c r="L66" i="33"/>
  <c r="J66" i="33"/>
  <c r="H66" i="33"/>
  <c r="O65" i="33"/>
  <c r="N65" i="33"/>
  <c r="L65" i="33"/>
  <c r="J65" i="33"/>
  <c r="O64" i="33"/>
  <c r="N64" i="33"/>
  <c r="L64" i="33"/>
  <c r="J64" i="33"/>
  <c r="K63" i="33"/>
  <c r="L63" i="33" s="1"/>
  <c r="J63" i="33"/>
  <c r="P62" i="33"/>
  <c r="O62" i="33"/>
  <c r="O55" i="33"/>
  <c r="N55" i="33"/>
  <c r="L55" i="33"/>
  <c r="J55" i="33"/>
  <c r="H55" i="33"/>
  <c r="O54" i="33"/>
  <c r="N54" i="33"/>
  <c r="L54" i="33"/>
  <c r="J54" i="33"/>
  <c r="H54" i="33"/>
  <c r="O53" i="33"/>
  <c r="N53" i="33"/>
  <c r="L53" i="33"/>
  <c r="J53" i="33"/>
  <c r="H53" i="33"/>
  <c r="O50" i="33"/>
  <c r="N50" i="33"/>
  <c r="L50" i="33"/>
  <c r="J50" i="33"/>
  <c r="H50" i="33"/>
  <c r="O49" i="33"/>
  <c r="N49" i="33"/>
  <c r="L49" i="33"/>
  <c r="J49" i="33"/>
  <c r="H49" i="33"/>
  <c r="P48" i="33"/>
  <c r="O48" i="33"/>
  <c r="O46" i="33"/>
  <c r="N46" i="33"/>
  <c r="L46" i="33"/>
  <c r="J46" i="33"/>
  <c r="H46" i="33"/>
  <c r="O43" i="33"/>
  <c r="N43" i="33"/>
  <c r="L43" i="33"/>
  <c r="J43" i="33"/>
  <c r="H43" i="33"/>
  <c r="O35" i="33"/>
  <c r="N35" i="33"/>
  <c r="L35" i="33"/>
  <c r="J35" i="33"/>
  <c r="H35" i="33"/>
  <c r="O34" i="33"/>
  <c r="N34" i="33"/>
  <c r="L34" i="33"/>
  <c r="J34" i="33"/>
  <c r="H34" i="33"/>
  <c r="P33" i="33"/>
  <c r="O33" i="33"/>
  <c r="O31" i="33"/>
  <c r="L29" i="33"/>
  <c r="J29" i="33"/>
  <c r="H29" i="33"/>
  <c r="P27" i="33"/>
  <c r="O27" i="33"/>
  <c r="O22" i="33"/>
  <c r="P20" i="33"/>
  <c r="O20" i="33"/>
  <c r="N13" i="33"/>
  <c r="L13" i="33"/>
  <c r="J13" i="33"/>
  <c r="H13" i="33"/>
  <c r="N11" i="33"/>
  <c r="L11" i="33"/>
  <c r="J11" i="33"/>
  <c r="H11" i="33"/>
  <c r="O9" i="33"/>
  <c r="N9" i="33"/>
  <c r="L9" i="33"/>
  <c r="J9" i="33"/>
  <c r="H9" i="33"/>
  <c r="O7" i="33"/>
  <c r="N7" i="33"/>
  <c r="L7" i="33"/>
  <c r="J7" i="33"/>
  <c r="H7" i="33"/>
  <c r="R36" i="35" l="1"/>
  <c r="N21" i="33"/>
  <c r="J21" i="33"/>
  <c r="H21" i="33"/>
  <c r="L21" i="33"/>
  <c r="O63" i="33"/>
  <c r="P7" i="33"/>
  <c r="P13" i="33"/>
  <c r="P64" i="33"/>
  <c r="P55" i="33"/>
  <c r="P46" i="33"/>
  <c r="P76" i="33"/>
  <c r="P9" i="33"/>
  <c r="J30" i="33"/>
  <c r="P66" i="33"/>
  <c r="L86" i="33"/>
  <c r="P50" i="33"/>
  <c r="P54" i="33"/>
  <c r="H86" i="33"/>
  <c r="P35" i="33"/>
  <c r="J15" i="33"/>
  <c r="P53" i="33"/>
  <c r="J57" i="33"/>
  <c r="H30" i="33"/>
  <c r="L30" i="33"/>
  <c r="N15" i="33"/>
  <c r="J86" i="33"/>
  <c r="P79" i="33"/>
  <c r="H31" i="33"/>
  <c r="H57" i="33"/>
  <c r="J31" i="33"/>
  <c r="P69" i="33"/>
  <c r="P80" i="33"/>
  <c r="L31" i="33"/>
  <c r="N57" i="33"/>
  <c r="P63" i="33"/>
  <c r="P65" i="33"/>
  <c r="H15" i="33"/>
  <c r="P78" i="33"/>
  <c r="L15" i="33"/>
  <c r="O13" i="33"/>
  <c r="O11" i="33"/>
  <c r="P11" i="33"/>
  <c r="P43" i="33"/>
  <c r="O30" i="33"/>
  <c r="P49" i="33"/>
  <c r="M63" i="33"/>
  <c r="N63" i="33" s="1"/>
  <c r="L57" i="33"/>
  <c r="P77" i="33"/>
  <c r="P34" i="33"/>
  <c r="P83" i="33" l="1"/>
  <c r="P57" i="33"/>
  <c r="P21" i="33"/>
  <c r="P75" i="33"/>
  <c r="N86" i="33"/>
  <c r="P15" i="33"/>
  <c r="O29" i="33"/>
  <c r="P30" i="33"/>
  <c r="P31" i="33"/>
  <c r="L22" i="33"/>
  <c r="L37" i="33" s="1"/>
  <c r="L89" i="33" s="1"/>
  <c r="L115" i="33" s="1"/>
  <c r="L119" i="33" s="1"/>
  <c r="J22" i="33"/>
  <c r="J37" i="33" s="1"/>
  <c r="J89" i="33" s="1"/>
  <c r="J115" i="33" s="1"/>
  <c r="J119" i="33" s="1"/>
  <c r="H22" i="33"/>
  <c r="H37" i="33" s="1"/>
  <c r="H89" i="33" s="1"/>
  <c r="N22" i="33"/>
  <c r="N37" i="33" s="1"/>
  <c r="H115" i="33" l="1"/>
  <c r="H119" i="33" s="1"/>
  <c r="P29" i="33"/>
  <c r="O28" i="33"/>
  <c r="N89" i="33"/>
  <c r="N115" i="33" s="1"/>
  <c r="N119" i="33" s="1"/>
  <c r="P22" i="33"/>
  <c r="P86" i="33"/>
  <c r="P28" i="33" l="1"/>
  <c r="P37" i="33"/>
  <c r="P89" i="33"/>
  <c r="F98" i="35" l="1"/>
  <c r="R91" i="35"/>
  <c r="R96" i="35" l="1"/>
  <c r="R80" i="35"/>
  <c r="C104" i="35" l="1"/>
  <c r="C106" i="35" s="1"/>
  <c r="R98" i="35"/>
</calcChain>
</file>

<file path=xl/sharedStrings.xml><?xml version="1.0" encoding="utf-8"?>
<sst xmlns="http://schemas.openxmlformats.org/spreadsheetml/2006/main" count="467" uniqueCount="147">
  <si>
    <t>N°</t>
  </si>
  <si>
    <t>DESIGNATION DES OUVRAGES</t>
  </si>
  <si>
    <t>U</t>
  </si>
  <si>
    <t>QUANT.</t>
  </si>
  <si>
    <t>P. U.</t>
  </si>
  <si>
    <t>TOTAL</t>
  </si>
  <si>
    <t>Ft</t>
  </si>
  <si>
    <t>m²</t>
  </si>
  <si>
    <t>ml</t>
  </si>
  <si>
    <t>TOTAL CHAPITRE 0</t>
  </si>
  <si>
    <t>u</t>
  </si>
  <si>
    <t>TOTAL CHAPITRE 3</t>
  </si>
  <si>
    <t>0.1</t>
  </si>
  <si>
    <t>0.2</t>
  </si>
  <si>
    <t>TOTAL CHAPITRE 2</t>
  </si>
  <si>
    <t>TOTAL GENERAL H.T</t>
  </si>
  <si>
    <t>Essais de contrôle - réceptions</t>
  </si>
  <si>
    <t xml:space="preserve">     CHAPITRE 0 - TRAVAUX PRELIMINAIRES - GEOTECHNIQUE - TOPOGRAPHIE - CONTRÔLE ET ESSAIS - DOE</t>
  </si>
  <si>
    <t xml:space="preserve"> Frais d'installation et de repli</t>
  </si>
  <si>
    <t>0.4</t>
  </si>
  <si>
    <t>0.3</t>
  </si>
  <si>
    <t>2.1</t>
  </si>
  <si>
    <t>2.4</t>
  </si>
  <si>
    <t>3.1</t>
  </si>
  <si>
    <t>3.2</t>
  </si>
  <si>
    <t>Signalisation temporaire</t>
  </si>
  <si>
    <t>TOTAL CHAPITRE 1</t>
  </si>
  <si>
    <t>1.1</t>
  </si>
  <si>
    <t>1.2</t>
  </si>
  <si>
    <t>1.3</t>
  </si>
  <si>
    <t>2.3</t>
  </si>
  <si>
    <t>1.2.1</t>
  </si>
  <si>
    <t>2.4.1</t>
  </si>
  <si>
    <t>3.1.1</t>
  </si>
  <si>
    <t>1.2.2</t>
  </si>
  <si>
    <t>Réservations dans les dalles</t>
  </si>
  <si>
    <t xml:space="preserve">     CHAPITRE  2 - RESEAUX</t>
  </si>
  <si>
    <t>Raccordement eau potable</t>
  </si>
  <si>
    <t>2.4.2</t>
  </si>
  <si>
    <t>3.1.2</t>
  </si>
  <si>
    <t>3.1.3</t>
  </si>
  <si>
    <t>3.2.2</t>
  </si>
  <si>
    <t>3.2.3</t>
  </si>
  <si>
    <t>3.1.5</t>
  </si>
  <si>
    <t>3.2.5</t>
  </si>
  <si>
    <t>3.2.6</t>
  </si>
  <si>
    <t>Travaux de maçonnerie</t>
  </si>
  <si>
    <t>H.T</t>
  </si>
  <si>
    <t xml:space="preserve">     CHAPITRE 1 - TRAVAUX PREPARATOIRES</t>
  </si>
  <si>
    <t>Terrassement préparatoires</t>
  </si>
  <si>
    <t xml:space="preserve">     CHAPITRE  3 - CONSTRUCTION</t>
  </si>
  <si>
    <t>2.1.1</t>
  </si>
  <si>
    <t>prises électriques</t>
  </si>
  <si>
    <t>Aménagement</t>
  </si>
  <si>
    <t>m3</t>
  </si>
  <si>
    <t>Réservations pour AEP Ø32 sous dalle selon plan</t>
  </si>
  <si>
    <t>TGBT du bâtiment (protections pour : l'éclairage des pièces, les prises électriques selon catégorie, yc toutes sujétions)</t>
  </si>
  <si>
    <t>fourniture et pose de fenêtre PVC 1,25 x 1,20 2 vanteaux conforme CCTP</t>
  </si>
  <si>
    <t>j</t>
  </si>
  <si>
    <t>Réservations pour réseaux secs 2x TPC Ø63 selon plan</t>
  </si>
  <si>
    <t>Réalisation des réseaux EP</t>
  </si>
  <si>
    <t>3.2.8</t>
  </si>
  <si>
    <t>3.2.7</t>
  </si>
  <si>
    <t>1.3.2</t>
  </si>
  <si>
    <t>1.3.3</t>
  </si>
  <si>
    <t>Réseau sec</t>
  </si>
  <si>
    <t>Regard avec tampon fonte à grille concave</t>
  </si>
  <si>
    <t>Réalisation des réseaux EU</t>
  </si>
  <si>
    <t>Regard tampon fonte étanche</t>
  </si>
  <si>
    <t>Fosse toutes eaux/Micro station</t>
  </si>
  <si>
    <t>Stockage</t>
  </si>
  <si>
    <t>Raccordement électrique sur TGBT Atelier</t>
  </si>
  <si>
    <t>réseau éclairage Atelier Point lumineux + 2 inter</t>
  </si>
  <si>
    <t>réseau éclairage Stockage Point lumineux + 2 inter</t>
  </si>
  <si>
    <t>Extincteur Classe A</t>
  </si>
  <si>
    <t>Bloc sanitaire</t>
  </si>
  <si>
    <t>Fourniture et pose d'une couverture tôle entre les containers</t>
  </si>
  <si>
    <t>Grillage</t>
  </si>
  <si>
    <t xml:space="preserve"> </t>
  </si>
  <si>
    <t>Fourniture et pose d'un container  en superstructure servant d'appui de toiture</t>
  </si>
  <si>
    <t>Porte coulissant 2 ventaux en grillage</t>
  </si>
  <si>
    <t>Réseau Ø200</t>
  </si>
  <si>
    <t>Réseau pneumatique en facade au dessus  établis (9 sur le plan)</t>
  </si>
  <si>
    <t>Raccordement au réseau Elec Fonderie</t>
  </si>
  <si>
    <t>y a til un tableau electrique à la fonderie ?</t>
  </si>
  <si>
    <t>A ajouter sur le plan + confirmer qu'on peut se raccorder au niveau des sanitaires (sinon ajouter 7ml)</t>
  </si>
  <si>
    <t>Ratio :</t>
  </si>
  <si>
    <t>Implantation - étude d'exécution - topographie - Récolements - DOE</t>
  </si>
  <si>
    <t>Atelier de démantèlement</t>
  </si>
  <si>
    <t>Fourniture et pose d'une charpente métallique (yc supports et fixations)</t>
  </si>
  <si>
    <t>Ratio</t>
  </si>
  <si>
    <t>Fourniture et installation d'un container aménagé en local sanitaire (y/c 1 lavabo, 1 douche, 1 sanitaire)</t>
  </si>
  <si>
    <t>3,2,1</t>
  </si>
  <si>
    <t>3,2,2</t>
  </si>
  <si>
    <t>3,2,3</t>
  </si>
  <si>
    <t>Fourniture et pose porte l 0,93m h 2,05m PVC, y compris encadrement conforme CCTP (local sanitaire)</t>
  </si>
  <si>
    <t>Fourniture et pose des voiles en tôle</t>
  </si>
  <si>
    <t>3.1.6</t>
  </si>
  <si>
    <t>3.1.7</t>
  </si>
  <si>
    <t>3.1.8</t>
  </si>
  <si>
    <t>Gouttière y/c descentes EP</t>
  </si>
  <si>
    <t>Fourniture et pose d'une couverture (traitement bord de mer)</t>
  </si>
  <si>
    <t>3.3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</si>
  <si>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</si>
  <si>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</si>
  <si>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</si>
  <si>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</si>
  <si>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</si>
  <si>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</si>
  <si>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</si>
  <si>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</si>
  <si>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3.2.1</t>
  </si>
  <si>
    <t>3.2.4</t>
  </si>
  <si>
    <t>Raccordement des équipements au réseau existant</t>
  </si>
  <si>
    <t>Terrassement au cote projet y compris nettoyage du site - DEMANTELEMENT</t>
  </si>
  <si>
    <t>Terrassement au cote projet y compris nettoyage du site - STOCKAGE</t>
  </si>
  <si>
    <t>1.1.2</t>
  </si>
  <si>
    <t>1.1.1</t>
  </si>
  <si>
    <t>1.1.3</t>
  </si>
  <si>
    <t>1.1.4</t>
  </si>
  <si>
    <t>Réalisation des longrines et des bétons de propreté - DEMANTELEMENT</t>
  </si>
  <si>
    <t>Réalisation des longrines et des bétons de propreté - STOCKAGE</t>
  </si>
  <si>
    <t xml:space="preserve">DEMANTELEMENT + stock VHU + entrée : dalle portée sur une épaisseur de 15cm (à confirmé par étude exécution) </t>
  </si>
  <si>
    <t xml:space="preserve">STOCKAGE : dalle portée sur une épaisseur de 15cm (à confirmé par étude exécution) </t>
  </si>
  <si>
    <t>Fourniture et pose porte 0,93m h 2,05m PVC, y compris encadrement conforme CCTP (containers STOCKAGE)</t>
  </si>
  <si>
    <t>une fenêtre était prévue sur le local sanitaire : pas indispensable : on l'a supprime : MODIFIER LES PLANS</t>
  </si>
  <si>
    <t>Fourniture et pose d'un escalier métallique pour accéder au container en superstructure</t>
  </si>
  <si>
    <t>Canalisations enterrées DN200 y/c raccordement sur le regard de la dalle FONDERIE</t>
  </si>
  <si>
    <t>Fourniture et pose d'un escalier intérieur 
pour accéder au container en superstructure</t>
  </si>
  <si>
    <t>Fourniture et pose d'un container non aménagé en superstructure y/c ouverture pour porte</t>
  </si>
  <si>
    <t>Fourniture et pose d'un container équipés d'étagères y/c ouverture pour porte</t>
  </si>
  <si>
    <t>RIA Atelier y/c fixaation, raccordement et essai</t>
  </si>
  <si>
    <t>1.1.5</t>
  </si>
  <si>
    <t>Aménagement fossé EP</t>
  </si>
  <si>
    <t>2.2</t>
  </si>
  <si>
    <t>2.3.1</t>
  </si>
  <si>
    <t>2.3.2</t>
  </si>
  <si>
    <t>2.2.1</t>
  </si>
  <si>
    <t>Terrassement pour les fondations - DEMANTELEMENT</t>
  </si>
  <si>
    <t>Terrassement pour les fondations - STOCKAGE</t>
  </si>
  <si>
    <t>Tranche ferme</t>
  </si>
  <si>
    <t>TOTAL CHAPITRE 4</t>
  </si>
  <si>
    <t xml:space="preserve">     CHAPITRE  4 - CONSTRUCTION - Tranche optionnelle </t>
  </si>
  <si>
    <t>TOTAL GENERAL TRANCHE CONDITIONNELLE H.T</t>
  </si>
  <si>
    <t>EURO H.T</t>
  </si>
  <si>
    <t>P. U. (EURO)</t>
  </si>
  <si>
    <t>TOTAL GENERAL H.T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</si>
</sst>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i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0"/>
      <color rgb="FF00B050"/>
      <name val="Calibri"/>
      <family val="2"/>
      <scheme val="minor"/>
    </font>
    <font>
      <sz val="8"/>
      <name val="Arial"/>
      <family val="2"/>
    </font>
    <font>
      <b/>
      <i/>
      <sz val="11"/>
      <color rgb="FF0070C0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70C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89">
    <xf numFmtId="0" fontId="0" fillId="0" borderId="0" xfId="0"/>
    <xf numFmtId="9" fontId="2" fillId="0" borderId="4" xfId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12" xfId="0" applyFont="1" applyFill="1" applyBorder="1" applyAlignment="1">
      <alignment horizontal="center" shrinkToFit="1"/>
    </xf>
    <xf numFmtId="0" fontId="7" fillId="2" borderId="13" xfId="0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23" xfId="0" applyNumberFormat="1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top" shrinkToFit="1"/>
    </xf>
    <xf numFmtId="0" fontId="7" fillId="2" borderId="16" xfId="0" applyFont="1" applyFill="1" applyBorder="1" applyAlignment="1">
      <alignment horizontal="center" vertical="top"/>
    </xf>
    <xf numFmtId="4" fontId="7" fillId="2" borderId="14" xfId="0" applyNumberFormat="1" applyFont="1" applyFill="1" applyBorder="1" applyAlignment="1">
      <alignment horizontal="center" vertical="top"/>
    </xf>
    <xf numFmtId="3" fontId="7" fillId="2" borderId="16" xfId="0" applyNumberFormat="1" applyFont="1" applyFill="1" applyBorder="1" applyAlignment="1">
      <alignment horizontal="center" vertical="top"/>
    </xf>
    <xf numFmtId="3" fontId="7" fillId="2" borderId="14" xfId="0" applyNumberFormat="1" applyFont="1" applyFill="1" applyBorder="1" applyAlignment="1">
      <alignment horizontal="center" vertical="top"/>
    </xf>
    <xf numFmtId="3" fontId="7" fillId="2" borderId="45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6" borderId="4" xfId="0" applyNumberFormat="1" applyFont="1" applyFill="1" applyBorder="1" applyAlignment="1">
      <alignment horizontal="center" vertical="center"/>
    </xf>
    <xf numFmtId="3" fontId="6" fillId="6" borderId="6" xfId="0" applyNumberFormat="1" applyFont="1" applyFill="1" applyBorder="1" applyAlignment="1">
      <alignment horizontal="center" vertical="center"/>
    </xf>
    <xf numFmtId="9" fontId="6" fillId="6" borderId="4" xfId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3" fontId="6" fillId="7" borderId="4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 shrinkToFit="1"/>
    </xf>
    <xf numFmtId="0" fontId="6" fillId="0" borderId="38" xfId="0" applyFont="1" applyBorder="1" applyAlignment="1">
      <alignment vertical="center"/>
    </xf>
    <xf numFmtId="3" fontId="7" fillId="3" borderId="22" xfId="0" applyNumberFormat="1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9" fontId="6" fillId="3" borderId="32" xfId="0" applyNumberFormat="1" applyFont="1" applyFill="1" applyBorder="1" applyAlignment="1">
      <alignment horizontal="center" vertical="center"/>
    </xf>
    <xf numFmtId="9" fontId="6" fillId="8" borderId="4" xfId="1" applyFont="1" applyFill="1" applyBorder="1" applyAlignment="1">
      <alignment horizontal="center" vertical="center"/>
    </xf>
    <xf numFmtId="3" fontId="6" fillId="0" borderId="50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9" fontId="6" fillId="5" borderId="40" xfId="1" applyFont="1" applyFill="1" applyBorder="1" applyAlignment="1">
      <alignment horizontal="center" vertical="center"/>
    </xf>
    <xf numFmtId="9" fontId="6" fillId="5" borderId="4" xfId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3" fontId="6" fillId="6" borderId="50" xfId="0" applyNumberFormat="1" applyFont="1" applyFill="1" applyBorder="1" applyAlignment="1">
      <alignment horizontal="center" vertical="center"/>
    </xf>
    <xf numFmtId="9" fontId="6" fillId="6" borderId="40" xfId="1" applyFont="1" applyFill="1" applyBorder="1" applyAlignment="1">
      <alignment horizontal="center" vertical="center"/>
    </xf>
    <xf numFmtId="3" fontId="6" fillId="7" borderId="6" xfId="0" applyNumberFormat="1" applyFont="1" applyFill="1" applyBorder="1" applyAlignment="1">
      <alignment horizontal="center" vertical="center"/>
    </xf>
    <xf numFmtId="3" fontId="6" fillId="7" borderId="50" xfId="0" applyNumberFormat="1" applyFont="1" applyFill="1" applyBorder="1" applyAlignment="1">
      <alignment horizontal="center" vertical="center"/>
    </xf>
    <xf numFmtId="9" fontId="6" fillId="7" borderId="40" xfId="1" applyFont="1" applyFill="1" applyBorder="1" applyAlignment="1">
      <alignment horizontal="center" vertical="center"/>
    </xf>
    <xf numFmtId="9" fontId="6" fillId="7" borderId="4" xfId="1" applyFont="1" applyFill="1" applyBorder="1" applyAlignment="1">
      <alignment horizontal="center" vertical="center"/>
    </xf>
    <xf numFmtId="9" fontId="5" fillId="9" borderId="40" xfId="1" applyFont="1" applyFill="1" applyBorder="1" applyAlignment="1">
      <alignment horizontal="center" vertical="center"/>
    </xf>
    <xf numFmtId="9" fontId="5" fillId="9" borderId="4" xfId="1" applyFont="1" applyFill="1" applyBorder="1" applyAlignment="1">
      <alignment horizontal="center" vertical="center"/>
    </xf>
    <xf numFmtId="0" fontId="5" fillId="9" borderId="0" xfId="0" applyFont="1" applyFill="1"/>
    <xf numFmtId="3" fontId="5" fillId="9" borderId="0" xfId="0" applyNumberFormat="1" applyFont="1" applyFill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48" xfId="0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3" fontId="7" fillId="3" borderId="31" xfId="0" applyNumberFormat="1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5" borderId="0" xfId="0" applyNumberFormat="1" applyFont="1" applyFill="1" applyAlignment="1">
      <alignment horizontal="center" vertical="center"/>
    </xf>
    <xf numFmtId="3" fontId="6" fillId="5" borderId="4" xfId="0" applyNumberFormat="1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" fillId="0" borderId="4" xfId="0" applyFont="1" applyBorder="1" applyAlignment="1">
      <alignment vertical="center" shrinkToFit="1"/>
    </xf>
    <xf numFmtId="0" fontId="6" fillId="0" borderId="36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3" borderId="30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 shrinkToFit="1"/>
    </xf>
    <xf numFmtId="3" fontId="6" fillId="6" borderId="4" xfId="0" applyNumberFormat="1" applyFont="1" applyFill="1" applyBorder="1" applyAlignment="1">
      <alignment vertical="center"/>
    </xf>
    <xf numFmtId="3" fontId="6" fillId="6" borderId="50" xfId="0" applyNumberFormat="1" applyFont="1" applyFill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0" borderId="40" xfId="0" applyNumberFormat="1" applyFont="1" applyBorder="1" applyAlignment="1">
      <alignment vertical="center"/>
    </xf>
    <xf numFmtId="3" fontId="6" fillId="0" borderId="50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9" fontId="6" fillId="0" borderId="40" xfId="1" applyFont="1" applyFill="1" applyBorder="1" applyAlignment="1">
      <alignment horizontal="center" vertical="center"/>
    </xf>
    <xf numFmtId="9" fontId="6" fillId="0" borderId="4" xfId="1" applyFont="1" applyFill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5" borderId="4" xfId="0" applyFont="1" applyFill="1" applyBorder="1" applyAlignment="1">
      <alignment vertical="center" shrinkToFit="1"/>
    </xf>
    <xf numFmtId="3" fontId="6" fillId="0" borderId="36" xfId="0" applyNumberFormat="1" applyFont="1" applyBorder="1" applyAlignment="1">
      <alignment horizontal="center" vertical="center"/>
    </xf>
    <xf numFmtId="3" fontId="6" fillId="0" borderId="38" xfId="0" applyNumberFormat="1" applyFont="1" applyBorder="1" applyAlignment="1">
      <alignment horizontal="center" vertical="center"/>
    </xf>
    <xf numFmtId="10" fontId="6" fillId="8" borderId="4" xfId="1" applyNumberFormat="1" applyFont="1" applyFill="1" applyBorder="1" applyAlignment="1">
      <alignment horizontal="center" vertical="center"/>
    </xf>
    <xf numFmtId="3" fontId="6" fillId="0" borderId="0" xfId="0" applyNumberFormat="1" applyFont="1"/>
    <xf numFmtId="3" fontId="6" fillId="1" borderId="18" xfId="0" applyNumberFormat="1" applyFont="1" applyFill="1" applyBorder="1" applyAlignment="1">
      <alignment horizontal="center" vertical="center"/>
    </xf>
    <xf numFmtId="3" fontId="6" fillId="1" borderId="54" xfId="0" applyNumberFormat="1" applyFont="1" applyFill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10" fillId="0" borderId="4" xfId="0" applyFont="1" applyBorder="1" applyAlignment="1">
      <alignment vertical="center" wrapText="1" shrinkToFit="1"/>
    </xf>
    <xf numFmtId="0" fontId="6" fillId="9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vertical="center" wrapText="1"/>
    </xf>
    <xf numFmtId="3" fontId="6" fillId="9" borderId="4" xfId="0" applyNumberFormat="1" applyFont="1" applyFill="1" applyBorder="1" applyAlignment="1">
      <alignment horizontal="center" vertical="center"/>
    </xf>
    <xf numFmtId="3" fontId="6" fillId="9" borderId="6" xfId="0" applyNumberFormat="1" applyFont="1" applyFill="1" applyBorder="1" applyAlignment="1">
      <alignment horizontal="center" vertical="center"/>
    </xf>
    <xf numFmtId="3" fontId="6" fillId="9" borderId="50" xfId="0" applyNumberFormat="1" applyFont="1" applyFill="1" applyBorder="1" applyAlignment="1">
      <alignment horizontal="center" vertical="center"/>
    </xf>
    <xf numFmtId="3" fontId="6" fillId="9" borderId="5" xfId="0" applyNumberFormat="1" applyFont="1" applyFill="1" applyBorder="1" applyAlignment="1">
      <alignment horizontal="center" vertical="center"/>
    </xf>
    <xf numFmtId="3" fontId="6" fillId="9" borderId="40" xfId="0" applyNumberFormat="1" applyFont="1" applyFill="1" applyBorder="1" applyAlignment="1">
      <alignment horizontal="center" vertical="center"/>
    </xf>
    <xf numFmtId="0" fontId="6" fillId="9" borderId="0" xfId="0" applyFont="1" applyFill="1" applyAlignment="1">
      <alignment horizontal="left"/>
    </xf>
    <xf numFmtId="9" fontId="6" fillId="9" borderId="40" xfId="1" applyFont="1" applyFill="1" applyBorder="1" applyAlignment="1">
      <alignment horizontal="center" vertical="center"/>
    </xf>
    <xf numFmtId="9" fontId="6" fillId="9" borderId="4" xfId="1" applyFont="1" applyFill="1" applyBorder="1" applyAlignment="1">
      <alignment horizontal="center" vertical="center"/>
    </xf>
    <xf numFmtId="0" fontId="6" fillId="9" borderId="0" xfId="0" applyFont="1" applyFill="1"/>
    <xf numFmtId="3" fontId="6" fillId="9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3" fontId="1" fillId="0" borderId="4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 vertical="top"/>
    </xf>
    <xf numFmtId="3" fontId="15" fillId="0" borderId="0" xfId="0" applyNumberFormat="1" applyFont="1" applyAlignment="1">
      <alignment horizontal="center" vertical="center" shrinkToFit="1"/>
    </xf>
    <xf numFmtId="3" fontId="15" fillId="0" borderId="0" xfId="0" applyNumberFormat="1" applyFont="1" applyAlignment="1">
      <alignment vertical="center"/>
    </xf>
    <xf numFmtId="3" fontId="15" fillId="0" borderId="0" xfId="1" applyNumberFormat="1" applyFont="1" applyFill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0" xfId="0" applyNumberFormat="1" applyFont="1"/>
    <xf numFmtId="3" fontId="8" fillId="0" borderId="0" xfId="1" applyNumberFormat="1" applyFont="1" applyFill="1" applyBorder="1" applyAlignment="1">
      <alignment horizontal="left" vertical="center" indent="2"/>
    </xf>
    <xf numFmtId="0" fontId="16" fillId="0" borderId="4" xfId="0" applyFont="1" applyBorder="1" applyAlignment="1">
      <alignment vertical="center" wrapText="1" shrinkToFit="1"/>
    </xf>
    <xf numFmtId="0" fontId="16" fillId="0" borderId="4" xfId="0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3" fontId="16" fillId="7" borderId="4" xfId="0" applyNumberFormat="1" applyFont="1" applyFill="1" applyBorder="1" applyAlignment="1">
      <alignment horizontal="center" vertical="center"/>
    </xf>
    <xf numFmtId="3" fontId="16" fillId="7" borderId="6" xfId="0" applyNumberFormat="1" applyFont="1" applyFill="1" applyBorder="1" applyAlignment="1">
      <alignment horizontal="center" vertical="center"/>
    </xf>
    <xf numFmtId="3" fontId="16" fillId="6" borderId="4" xfId="0" applyNumberFormat="1" applyFont="1" applyFill="1" applyBorder="1" applyAlignment="1">
      <alignment horizontal="center" vertical="center"/>
    </xf>
    <xf numFmtId="3" fontId="16" fillId="6" borderId="50" xfId="0" applyNumberFormat="1" applyFont="1" applyFill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vertical="center"/>
    </xf>
    <xf numFmtId="3" fontId="16" fillId="0" borderId="40" xfId="0" applyNumberFormat="1" applyFont="1" applyBorder="1" applyAlignment="1">
      <alignment horizontal="center" vertical="center"/>
    </xf>
    <xf numFmtId="3" fontId="16" fillId="0" borderId="50" xfId="0" applyNumberFormat="1" applyFont="1" applyBorder="1" applyAlignment="1">
      <alignment vertical="center"/>
    </xf>
    <xf numFmtId="0" fontId="5" fillId="0" borderId="0" xfId="0" applyFont="1"/>
    <xf numFmtId="3" fontId="5" fillId="0" borderId="0" xfId="0" applyNumberFormat="1" applyFont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7" fillId="0" borderId="50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center" vertical="center"/>
    </xf>
    <xf numFmtId="9" fontId="2" fillId="0" borderId="40" xfId="1" applyFont="1" applyFill="1" applyBorder="1" applyAlignment="1">
      <alignment horizontal="center" vertical="center"/>
    </xf>
    <xf numFmtId="10" fontId="6" fillId="0" borderId="40" xfId="0" applyNumberFormat="1" applyFont="1" applyBorder="1" applyAlignment="1">
      <alignment horizontal="center" vertical="center"/>
    </xf>
    <xf numFmtId="0" fontId="6" fillId="8" borderId="31" xfId="0" applyFont="1" applyFill="1" applyBorder="1" applyAlignment="1">
      <alignment horizontal="center" vertical="center"/>
    </xf>
    <xf numFmtId="3" fontId="6" fillId="0" borderId="57" xfId="0" applyNumberFormat="1" applyFont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3" fontId="6" fillId="0" borderId="47" xfId="0" applyNumberFormat="1" applyFont="1" applyBorder="1" applyAlignment="1">
      <alignment horizontal="center" vertical="center"/>
    </xf>
    <xf numFmtId="3" fontId="6" fillId="0" borderId="58" xfId="0" applyNumberFormat="1" applyFont="1" applyBorder="1" applyAlignment="1">
      <alignment horizontal="center" vertical="center"/>
    </xf>
    <xf numFmtId="3" fontId="6" fillId="0" borderId="45" xfId="0" applyNumberFormat="1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top"/>
    </xf>
    <xf numFmtId="0" fontId="6" fillId="1" borderId="31" xfId="0" applyFont="1" applyFill="1" applyBorder="1" applyAlignment="1">
      <alignment horizontal="center" vertical="center"/>
    </xf>
    <xf numFmtId="0" fontId="12" fillId="1" borderId="32" xfId="0" applyFont="1" applyFill="1" applyBorder="1" applyAlignment="1">
      <alignment horizontal="right" vertical="center" shrinkToFit="1"/>
    </xf>
    <xf numFmtId="0" fontId="6" fillId="1" borderId="32" xfId="0" applyFont="1" applyFill="1" applyBorder="1" applyAlignment="1">
      <alignment horizontal="center" vertical="center"/>
    </xf>
    <xf numFmtId="4" fontId="6" fillId="1" borderId="32" xfId="0" applyNumberFormat="1" applyFont="1" applyFill="1" applyBorder="1" applyAlignment="1">
      <alignment horizontal="center" vertical="center"/>
    </xf>
    <xf numFmtId="3" fontId="6" fillId="1" borderId="32" xfId="0" applyNumberFormat="1" applyFont="1" applyFill="1" applyBorder="1" applyAlignment="1">
      <alignment horizontal="center" vertical="center"/>
    </xf>
    <xf numFmtId="3" fontId="6" fillId="1" borderId="39" xfId="0" applyNumberFormat="1" applyFont="1" applyFill="1" applyBorder="1" applyAlignment="1">
      <alignment horizontal="center" vertical="center"/>
    </xf>
    <xf numFmtId="3" fontId="6" fillId="1" borderId="31" xfId="0" applyNumberFormat="1" applyFont="1" applyFill="1" applyBorder="1" applyAlignment="1">
      <alignment horizontal="center" vertical="center"/>
    </xf>
    <xf numFmtId="3" fontId="19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3" fontId="18" fillId="2" borderId="0" xfId="0" applyNumberFormat="1" applyFont="1" applyFill="1" applyAlignment="1">
      <alignment horizontal="center"/>
    </xf>
    <xf numFmtId="3" fontId="18" fillId="2" borderId="23" xfId="0" applyNumberFormat="1" applyFont="1" applyFill="1" applyBorder="1" applyAlignment="1">
      <alignment horizontal="center"/>
    </xf>
    <xf numFmtId="0" fontId="18" fillId="2" borderId="44" xfId="0" applyFont="1" applyFill="1" applyBorder="1" applyAlignment="1">
      <alignment horizontal="center" vertical="top"/>
    </xf>
    <xf numFmtId="0" fontId="18" fillId="2" borderId="15" xfId="0" applyFont="1" applyFill="1" applyBorder="1" applyAlignment="1">
      <alignment horizontal="center" vertical="top" shrinkToFit="1"/>
    </xf>
    <xf numFmtId="0" fontId="18" fillId="2" borderId="16" xfId="0" applyFont="1" applyFill="1" applyBorder="1" applyAlignment="1">
      <alignment horizontal="center" vertical="top"/>
    </xf>
    <xf numFmtId="4" fontId="18" fillId="2" borderId="14" xfId="0" applyNumberFormat="1" applyFont="1" applyFill="1" applyBorder="1" applyAlignment="1">
      <alignment horizontal="center" vertical="top"/>
    </xf>
    <xf numFmtId="3" fontId="18" fillId="2" borderId="16" xfId="0" applyNumberFormat="1" applyFont="1" applyFill="1" applyBorder="1" applyAlignment="1">
      <alignment horizontal="center" vertical="top"/>
    </xf>
    <xf numFmtId="3" fontId="18" fillId="2" borderId="14" xfId="0" applyNumberFormat="1" applyFont="1" applyFill="1" applyBorder="1" applyAlignment="1">
      <alignment horizontal="center" vertical="top"/>
    </xf>
    <xf numFmtId="3" fontId="18" fillId="2" borderId="45" xfId="0" applyNumberFormat="1" applyFont="1" applyFill="1" applyBorder="1" applyAlignment="1">
      <alignment horizontal="center" vertical="top"/>
    </xf>
    <xf numFmtId="3" fontId="19" fillId="0" borderId="0" xfId="0" applyNumberFormat="1" applyFont="1" applyAlignment="1">
      <alignment horizontal="center" vertical="top"/>
    </xf>
    <xf numFmtId="0" fontId="18" fillId="2" borderId="48" xfId="0" applyFont="1" applyFill="1" applyBorder="1" applyAlignment="1">
      <alignment horizontal="center" vertical="top"/>
    </xf>
    <xf numFmtId="3" fontId="18" fillId="2" borderId="0" xfId="0" applyNumberFormat="1" applyFont="1" applyFill="1" applyAlignment="1">
      <alignment horizontal="center" vertical="top"/>
    </xf>
    <xf numFmtId="3" fontId="18" fillId="2" borderId="49" xfId="0" applyNumberFormat="1" applyFont="1" applyFill="1" applyBorder="1" applyAlignment="1">
      <alignment horizontal="center" vertical="top"/>
    </xf>
    <xf numFmtId="3" fontId="19" fillId="0" borderId="0" xfId="0" applyNumberFormat="1" applyFont="1" applyAlignment="1">
      <alignment horizontal="center" vertical="center" shrinkToFit="1"/>
    </xf>
    <xf numFmtId="0" fontId="17" fillId="0" borderId="0" xfId="0" applyFont="1" applyAlignment="1">
      <alignment vertical="center"/>
    </xf>
    <xf numFmtId="3" fontId="19" fillId="0" borderId="0" xfId="0" applyNumberFormat="1" applyFont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vertical="center" shrinkToFit="1"/>
    </xf>
    <xf numFmtId="0" fontId="17" fillId="0" borderId="4" xfId="0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3" fontId="17" fillId="0" borderId="6" xfId="0" applyNumberFormat="1" applyFont="1" applyBorder="1" applyAlignment="1">
      <alignment horizontal="center" vertical="center"/>
    </xf>
    <xf numFmtId="3" fontId="17" fillId="6" borderId="4" xfId="0" applyNumberFormat="1" applyFont="1" applyFill="1" applyBorder="1" applyAlignment="1">
      <alignment horizontal="center" vertical="center"/>
    </xf>
    <xf numFmtId="3" fontId="17" fillId="6" borderId="6" xfId="0" applyNumberFormat="1" applyFont="1" applyFill="1" applyBorder="1" applyAlignment="1">
      <alignment horizontal="center" vertical="center"/>
    </xf>
    <xf numFmtId="9" fontId="17" fillId="6" borderId="4" xfId="1" applyFont="1" applyFill="1" applyBorder="1" applyAlignment="1">
      <alignment horizontal="center" vertical="center"/>
    </xf>
    <xf numFmtId="3" fontId="19" fillId="0" borderId="0" xfId="1" applyNumberFormat="1" applyFont="1" applyFill="1" applyBorder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3" fontId="19" fillId="0" borderId="0" xfId="0" applyNumberFormat="1" applyFont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vertical="center" shrinkToFit="1"/>
    </xf>
    <xf numFmtId="0" fontId="23" fillId="0" borderId="4" xfId="0" applyFont="1" applyBorder="1" applyAlignment="1">
      <alignment vertical="center" wrapText="1" shrinkToFit="1"/>
    </xf>
    <xf numFmtId="0" fontId="17" fillId="0" borderId="38" xfId="0" applyFont="1" applyBorder="1" applyAlignment="1">
      <alignment vertical="center"/>
    </xf>
    <xf numFmtId="3" fontId="18" fillId="3" borderId="22" xfId="0" applyNumberFormat="1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3" fontId="18" fillId="3" borderId="24" xfId="0" applyNumberFormat="1" applyFont="1" applyFill="1" applyBorder="1" applyAlignment="1">
      <alignment horizontal="center" vertical="center"/>
    </xf>
    <xf numFmtId="9" fontId="17" fillId="3" borderId="32" xfId="0" applyNumberFormat="1" applyFont="1" applyFill="1" applyBorder="1" applyAlignment="1">
      <alignment horizontal="center" vertical="center"/>
    </xf>
    <xf numFmtId="9" fontId="17" fillId="8" borderId="4" xfId="1" applyFont="1" applyFill="1" applyBorder="1" applyAlignment="1">
      <alignment horizontal="center" vertical="center"/>
    </xf>
    <xf numFmtId="3" fontId="17" fillId="0" borderId="50" xfId="0" applyNumberFormat="1" applyFont="1" applyBorder="1" applyAlignment="1">
      <alignment horizontal="center" vertical="center"/>
    </xf>
    <xf numFmtId="3" fontId="17" fillId="0" borderId="5" xfId="0" applyNumberFormat="1" applyFont="1" applyBorder="1" applyAlignment="1">
      <alignment horizontal="center" vertical="center"/>
    </xf>
    <xf numFmtId="3" fontId="17" fillId="0" borderId="40" xfId="0" applyNumberFormat="1" applyFont="1" applyBorder="1" applyAlignment="1">
      <alignment horizontal="center" vertical="center"/>
    </xf>
    <xf numFmtId="9" fontId="17" fillId="5" borderId="40" xfId="1" applyFont="1" applyFill="1" applyBorder="1" applyAlignment="1">
      <alignment horizontal="center" vertical="center"/>
    </xf>
    <xf numFmtId="9" fontId="17" fillId="5" borderId="4" xfId="1" applyFont="1" applyFill="1" applyBorder="1" applyAlignment="1">
      <alignment horizontal="center" vertical="center"/>
    </xf>
    <xf numFmtId="0" fontId="17" fillId="0" borderId="4" xfId="0" applyFont="1" applyBorder="1" applyAlignment="1">
      <alignment vertical="center" wrapText="1" shrinkToFit="1"/>
    </xf>
    <xf numFmtId="3" fontId="25" fillId="0" borderId="4" xfId="0" applyNumberFormat="1" applyFont="1" applyBorder="1" applyAlignment="1">
      <alignment horizontal="center" vertical="center"/>
    </xf>
    <xf numFmtId="3" fontId="17" fillId="6" borderId="50" xfId="0" applyNumberFormat="1" applyFont="1" applyFill="1" applyBorder="1" applyAlignment="1">
      <alignment horizontal="center" vertical="center"/>
    </xf>
    <xf numFmtId="9" fontId="17" fillId="6" borderId="40" xfId="1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0" borderId="4" xfId="0" applyFont="1" applyBorder="1" applyAlignment="1">
      <alignment vertical="center" shrinkToFit="1"/>
    </xf>
    <xf numFmtId="3" fontId="17" fillId="7" borderId="4" xfId="0" applyNumberFormat="1" applyFont="1" applyFill="1" applyBorder="1" applyAlignment="1">
      <alignment horizontal="center" vertical="center"/>
    </xf>
    <xf numFmtId="3" fontId="17" fillId="7" borderId="6" xfId="0" applyNumberFormat="1" applyFont="1" applyFill="1" applyBorder="1" applyAlignment="1">
      <alignment horizontal="center" vertical="center"/>
    </xf>
    <xf numFmtId="3" fontId="17" fillId="7" borderId="50" xfId="0" applyNumberFormat="1" applyFont="1" applyFill="1" applyBorder="1" applyAlignment="1">
      <alignment horizontal="center" vertical="center"/>
    </xf>
    <xf numFmtId="9" fontId="17" fillId="7" borderId="40" xfId="1" applyFont="1" applyFill="1" applyBorder="1" applyAlignment="1">
      <alignment horizontal="center" vertical="center"/>
    </xf>
    <xf numFmtId="9" fontId="17" fillId="7" borderId="4" xfId="1" applyFont="1" applyFill="1" applyBorder="1" applyAlignment="1">
      <alignment horizontal="center" vertical="center"/>
    </xf>
    <xf numFmtId="0" fontId="3" fillId="0" borderId="0" xfId="0" applyFont="1"/>
    <xf numFmtId="0" fontId="17" fillId="0" borderId="7" xfId="0" applyFont="1" applyBorder="1" applyAlignment="1">
      <alignment vertical="center"/>
    </xf>
    <xf numFmtId="0" fontId="17" fillId="0" borderId="4" xfId="0" applyFont="1" applyBorder="1" applyAlignment="1">
      <alignment vertical="center" wrapText="1"/>
    </xf>
    <xf numFmtId="0" fontId="17" fillId="0" borderId="4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7" fillId="0" borderId="9" xfId="0" applyNumberFormat="1" applyFont="1" applyBorder="1" applyAlignment="1">
      <alignment horizontal="center" vertical="center"/>
    </xf>
    <xf numFmtId="3" fontId="17" fillId="0" borderId="33" xfId="0" applyNumberFormat="1" applyFont="1" applyBorder="1" applyAlignment="1">
      <alignment horizontal="center" vertical="center"/>
    </xf>
    <xf numFmtId="3" fontId="17" fillId="0" borderId="15" xfId="0" applyNumberFormat="1" applyFont="1" applyBorder="1" applyAlignment="1">
      <alignment horizontal="center" vertical="center"/>
    </xf>
    <xf numFmtId="3" fontId="17" fillId="0" borderId="10" xfId="0" applyNumberFormat="1" applyFont="1" applyBorder="1" applyAlignment="1">
      <alignment horizontal="center" vertical="center"/>
    </xf>
    <xf numFmtId="3" fontId="17" fillId="0" borderId="49" xfId="0" applyNumberFormat="1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/>
    </xf>
    <xf numFmtId="9" fontId="22" fillId="9" borderId="40" xfId="1" applyFont="1" applyFill="1" applyBorder="1" applyAlignment="1">
      <alignment horizontal="center" vertical="center"/>
    </xf>
    <xf numFmtId="9" fontId="22" fillId="9" borderId="4" xfId="1" applyFont="1" applyFill="1" applyBorder="1" applyAlignment="1">
      <alignment horizontal="center" vertical="center"/>
    </xf>
    <xf numFmtId="0" fontId="22" fillId="0" borderId="0" xfId="0" applyFont="1"/>
    <xf numFmtId="3" fontId="22" fillId="0" borderId="0" xfId="0" applyNumberFormat="1" applyFont="1" applyAlignment="1">
      <alignment horizontal="center" vertical="center"/>
    </xf>
    <xf numFmtId="0" fontId="17" fillId="0" borderId="3" xfId="0" applyFont="1" applyBorder="1" applyAlignment="1">
      <alignment vertical="center" shrinkToFit="1"/>
    </xf>
    <xf numFmtId="0" fontId="17" fillId="0" borderId="3" xfId="0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3" fontId="17" fillId="0" borderId="8" xfId="0" applyNumberFormat="1" applyFont="1" applyBorder="1" applyAlignment="1">
      <alignment horizontal="center" vertical="center"/>
    </xf>
    <xf numFmtId="3" fontId="17" fillId="0" borderId="7" xfId="0" applyNumberFormat="1" applyFont="1" applyBorder="1" applyAlignment="1">
      <alignment horizontal="center" vertical="center"/>
    </xf>
    <xf numFmtId="9" fontId="17" fillId="0" borderId="40" xfId="1" applyFont="1" applyFill="1" applyBorder="1" applyAlignment="1">
      <alignment horizontal="center" vertical="center"/>
    </xf>
    <xf numFmtId="9" fontId="17" fillId="0" borderId="4" xfId="1" applyFont="1" applyFill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25" fillId="0" borderId="4" xfId="0" applyFont="1" applyBorder="1" applyAlignment="1">
      <alignment vertical="center" shrinkToFit="1"/>
    </xf>
    <xf numFmtId="3" fontId="17" fillId="5" borderId="4" xfId="0" applyNumberFormat="1" applyFont="1" applyFill="1" applyBorder="1" applyAlignment="1">
      <alignment horizontal="center" vertical="center"/>
    </xf>
    <xf numFmtId="3" fontId="17" fillId="5" borderId="0" xfId="0" applyNumberFormat="1" applyFont="1" applyFill="1" applyAlignment="1">
      <alignment horizontal="center" vertical="center"/>
    </xf>
    <xf numFmtId="0" fontId="17" fillId="0" borderId="36" xfId="0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17" fillId="3" borderId="30" xfId="0" applyFont="1" applyFill="1" applyBorder="1" applyAlignment="1">
      <alignment horizontal="center" vertical="center"/>
    </xf>
    <xf numFmtId="3" fontId="17" fillId="6" borderId="4" xfId="0" applyNumberFormat="1" applyFont="1" applyFill="1" applyBorder="1" applyAlignment="1">
      <alignment vertical="center"/>
    </xf>
    <xf numFmtId="3" fontId="17" fillId="6" borderId="50" xfId="0" applyNumberFormat="1" applyFont="1" applyFill="1" applyBorder="1" applyAlignment="1">
      <alignment vertical="center"/>
    </xf>
    <xf numFmtId="3" fontId="17" fillId="0" borderId="5" xfId="0" applyNumberFormat="1" applyFont="1" applyBorder="1" applyAlignment="1">
      <alignment vertical="center"/>
    </xf>
    <xf numFmtId="3" fontId="17" fillId="0" borderId="6" xfId="0" applyNumberFormat="1" applyFont="1" applyBorder="1" applyAlignment="1">
      <alignment vertical="center"/>
    </xf>
    <xf numFmtId="3" fontId="17" fillId="0" borderId="40" xfId="0" applyNumberFormat="1" applyFont="1" applyBorder="1" applyAlignment="1">
      <alignment vertical="center"/>
    </xf>
    <xf numFmtId="3" fontId="17" fillId="0" borderId="50" xfId="0" applyNumberFormat="1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4" fontId="17" fillId="0" borderId="4" xfId="0" applyNumberFormat="1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5" borderId="4" xfId="0" applyFont="1" applyFill="1" applyBorder="1" applyAlignment="1">
      <alignment vertical="center" shrinkToFit="1"/>
    </xf>
    <xf numFmtId="3" fontId="17" fillId="0" borderId="36" xfId="0" applyNumberFormat="1" applyFont="1" applyBorder="1" applyAlignment="1">
      <alignment horizontal="center" vertical="center"/>
    </xf>
    <xf numFmtId="3" fontId="17" fillId="0" borderId="38" xfId="0" applyNumberFormat="1" applyFont="1" applyBorder="1" applyAlignment="1">
      <alignment horizontal="center" vertical="center"/>
    </xf>
    <xf numFmtId="10" fontId="17" fillId="8" borderId="4" xfId="1" applyNumberFormat="1" applyFont="1" applyFill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3" fontId="18" fillId="0" borderId="25" xfId="0" applyNumberFormat="1" applyFont="1" applyBorder="1" applyAlignment="1">
      <alignment horizontal="center" vertical="center"/>
    </xf>
    <xf numFmtId="3" fontId="17" fillId="0" borderId="0" xfId="0" applyNumberFormat="1" applyFont="1"/>
    <xf numFmtId="0" fontId="17" fillId="0" borderId="33" xfId="0" applyFont="1" applyBorder="1"/>
    <xf numFmtId="3" fontId="17" fillId="0" borderId="15" xfId="0" applyNumberFormat="1" applyFont="1" applyBorder="1"/>
    <xf numFmtId="3" fontId="17" fillId="0" borderId="49" xfId="0" applyNumberFormat="1" applyFont="1" applyBorder="1"/>
    <xf numFmtId="3" fontId="19" fillId="0" borderId="0" xfId="0" applyNumberFormat="1" applyFont="1"/>
    <xf numFmtId="0" fontId="17" fillId="1" borderId="42" xfId="0" applyFont="1" applyFill="1" applyBorder="1" applyAlignment="1">
      <alignment horizontal="center" vertical="center"/>
    </xf>
    <xf numFmtId="0" fontId="26" fillId="1" borderId="18" xfId="0" applyFont="1" applyFill="1" applyBorder="1" applyAlignment="1">
      <alignment horizontal="right" vertical="center" shrinkToFit="1"/>
    </xf>
    <xf numFmtId="0" fontId="17" fillId="1" borderId="18" xfId="0" applyFont="1" applyFill="1" applyBorder="1" applyAlignment="1">
      <alignment horizontal="center" vertical="center"/>
    </xf>
    <xf numFmtId="4" fontId="17" fillId="1" borderId="18" xfId="0" applyNumberFormat="1" applyFont="1" applyFill="1" applyBorder="1" applyAlignment="1">
      <alignment horizontal="center" vertical="center"/>
    </xf>
    <xf numFmtId="3" fontId="17" fillId="1" borderId="18" xfId="0" applyNumberFormat="1" applyFont="1" applyFill="1" applyBorder="1" applyAlignment="1">
      <alignment horizontal="center" vertical="center"/>
    </xf>
    <xf numFmtId="3" fontId="17" fillId="1" borderId="20" xfId="0" applyNumberFormat="1" applyFont="1" applyFill="1" applyBorder="1" applyAlignment="1">
      <alignment horizontal="center" vertical="center"/>
    </xf>
    <xf numFmtId="3" fontId="17" fillId="1" borderId="9" xfId="0" applyNumberFormat="1" applyFont="1" applyFill="1" applyBorder="1" applyAlignment="1">
      <alignment horizontal="center" vertical="center"/>
    </xf>
    <xf numFmtId="3" fontId="17" fillId="1" borderId="54" xfId="0" applyNumberFormat="1" applyFont="1" applyFill="1" applyBorder="1" applyAlignment="1">
      <alignment horizontal="center" vertical="center"/>
    </xf>
    <xf numFmtId="3" fontId="17" fillId="0" borderId="21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4" fontId="17" fillId="0" borderId="0" xfId="0" applyNumberFormat="1" applyFont="1" applyAlignment="1">
      <alignment horizontal="center" vertical="center"/>
    </xf>
    <xf numFmtId="9" fontId="17" fillId="5" borderId="0" xfId="1" applyFont="1" applyFill="1" applyBorder="1" applyAlignment="1">
      <alignment horizontal="center" vertical="center"/>
    </xf>
    <xf numFmtId="10" fontId="18" fillId="0" borderId="0" xfId="1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shrinkToFit="1"/>
    </xf>
    <xf numFmtId="4" fontId="18" fillId="2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17" fillId="10" borderId="2" xfId="0" applyFont="1" applyFill="1" applyBorder="1" applyAlignment="1">
      <alignment horizontal="center"/>
    </xf>
    <xf numFmtId="0" fontId="17" fillId="10" borderId="2" xfId="0" applyFont="1" applyFill="1" applyBorder="1" applyAlignment="1">
      <alignment horizontal="center" shrinkToFit="1"/>
    </xf>
    <xf numFmtId="4" fontId="17" fillId="10" borderId="2" xfId="0" applyNumberFormat="1" applyFont="1" applyFill="1" applyBorder="1" applyAlignment="1">
      <alignment horizontal="center"/>
    </xf>
    <xf numFmtId="3" fontId="18" fillId="10" borderId="2" xfId="0" applyNumberFormat="1" applyFont="1" applyFill="1" applyBorder="1" applyAlignment="1">
      <alignment horizontal="center"/>
    </xf>
    <xf numFmtId="3" fontId="18" fillId="2" borderId="49" xfId="0" applyNumberFormat="1" applyFont="1" applyFill="1" applyBorder="1" applyAlignment="1">
      <alignment horizontal="center"/>
    </xf>
    <xf numFmtId="3" fontId="20" fillId="0" borderId="0" xfId="1" applyNumberFormat="1" applyFont="1" applyFill="1" applyBorder="1" applyAlignment="1">
      <alignment horizontal="left" vertical="center" indent="2"/>
    </xf>
    <xf numFmtId="3" fontId="17" fillId="0" borderId="0" xfId="0" applyNumberFormat="1" applyFont="1" applyAlignment="1">
      <alignment vertical="center"/>
    </xf>
    <xf numFmtId="0" fontId="21" fillId="0" borderId="48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17" fillId="5" borderId="4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vertical="center" wrapText="1"/>
    </xf>
    <xf numFmtId="3" fontId="17" fillId="5" borderId="6" xfId="0" applyNumberFormat="1" applyFont="1" applyFill="1" applyBorder="1" applyAlignment="1">
      <alignment horizontal="center" vertical="center"/>
    </xf>
    <xf numFmtId="3" fontId="17" fillId="5" borderId="50" xfId="0" applyNumberFormat="1" applyFont="1" applyFill="1" applyBorder="1" applyAlignment="1">
      <alignment horizontal="center" vertical="center"/>
    </xf>
    <xf numFmtId="3" fontId="17" fillId="5" borderId="5" xfId="0" applyNumberFormat="1" applyFont="1" applyFill="1" applyBorder="1" applyAlignment="1">
      <alignment horizontal="center" vertical="center"/>
    </xf>
    <xf numFmtId="3" fontId="17" fillId="5" borderId="40" xfId="0" applyNumberFormat="1" applyFont="1" applyFill="1" applyBorder="1" applyAlignment="1">
      <alignment horizontal="center" vertical="center"/>
    </xf>
    <xf numFmtId="3" fontId="19" fillId="5" borderId="0" xfId="1" applyNumberFormat="1" applyFont="1" applyFill="1" applyBorder="1" applyAlignment="1">
      <alignment horizontal="center" vertical="center"/>
    </xf>
    <xf numFmtId="0" fontId="17" fillId="5" borderId="0" xfId="0" applyFont="1" applyFill="1"/>
    <xf numFmtId="9" fontId="22" fillId="5" borderId="40" xfId="1" applyFont="1" applyFill="1" applyBorder="1" applyAlignment="1">
      <alignment horizontal="center" vertical="center"/>
    </xf>
    <xf numFmtId="9" fontId="22" fillId="5" borderId="4" xfId="1" applyFont="1" applyFill="1" applyBorder="1" applyAlignment="1">
      <alignment horizontal="center" vertical="center"/>
    </xf>
    <xf numFmtId="0" fontId="22" fillId="5" borderId="0" xfId="0" applyFont="1" applyFill="1"/>
    <xf numFmtId="3" fontId="22" fillId="5" borderId="0" xfId="0" applyNumberFormat="1" applyFont="1" applyFill="1" applyAlignment="1">
      <alignment horizontal="center" vertical="center"/>
    </xf>
    <xf numFmtId="0" fontId="21" fillId="0" borderId="42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10" fontId="17" fillId="0" borderId="40" xfId="0" applyNumberFormat="1" applyFont="1" applyBorder="1" applyAlignment="1">
      <alignment horizontal="center" vertical="center"/>
    </xf>
    <xf numFmtId="0" fontId="18" fillId="2" borderId="59" xfId="0" applyFont="1" applyFill="1" applyBorder="1" applyAlignment="1">
      <alignment horizontal="center"/>
    </xf>
    <xf numFmtId="0" fontId="18" fillId="2" borderId="20" xfId="0" applyFont="1" applyFill="1" applyBorder="1" applyAlignment="1">
      <alignment horizontal="center" shrinkToFit="1"/>
    </xf>
    <xf numFmtId="0" fontId="18" fillId="2" borderId="18" xfId="0" applyFont="1" applyFill="1" applyBorder="1" applyAlignment="1">
      <alignment horizontal="center"/>
    </xf>
    <xf numFmtId="4" fontId="18" fillId="2" borderId="60" xfId="0" applyNumberFormat="1" applyFont="1" applyFill="1" applyBorder="1" applyAlignment="1">
      <alignment horizontal="center"/>
    </xf>
    <xf numFmtId="3" fontId="18" fillId="2" borderId="18" xfId="0" applyNumberFormat="1" applyFont="1" applyFill="1" applyBorder="1" applyAlignment="1">
      <alignment horizontal="center"/>
    </xf>
    <xf numFmtId="3" fontId="18" fillId="2" borderId="60" xfId="0" applyNumberFormat="1" applyFont="1" applyFill="1" applyBorder="1" applyAlignment="1">
      <alignment horizontal="center"/>
    </xf>
    <xf numFmtId="3" fontId="18" fillId="2" borderId="41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center" vertical="top" shrinkToFit="1"/>
    </xf>
    <xf numFmtId="0" fontId="18" fillId="2" borderId="0" xfId="0" applyFont="1" applyFill="1" applyAlignment="1">
      <alignment horizontal="center" vertical="top"/>
    </xf>
    <xf numFmtId="4" fontId="18" fillId="2" borderId="0" xfId="0" applyNumberFormat="1" applyFont="1" applyFill="1" applyAlignment="1">
      <alignment horizontal="center" vertical="top"/>
    </xf>
    <xf numFmtId="0" fontId="17" fillId="0" borderId="0" xfId="0" applyFont="1" applyAlignment="1">
      <alignment vertical="center" shrinkToFit="1"/>
    </xf>
    <xf numFmtId="3" fontId="17" fillId="1" borderId="0" xfId="0" applyNumberFormat="1" applyFont="1" applyFill="1" applyAlignment="1">
      <alignment horizontal="center" vertical="center"/>
    </xf>
    <xf numFmtId="3" fontId="18" fillId="0" borderId="49" xfId="0" applyNumberFormat="1" applyFont="1" applyBorder="1" applyAlignment="1">
      <alignment horizontal="center" vertical="center"/>
    </xf>
    <xf numFmtId="3" fontId="18" fillId="3" borderId="11" xfId="0" applyNumberFormat="1" applyFont="1" applyFill="1" applyBorder="1" applyAlignment="1">
      <alignment horizontal="center" vertical="center"/>
    </xf>
    <xf numFmtId="0" fontId="18" fillId="0" borderId="42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/>
    </xf>
    <xf numFmtId="3" fontId="18" fillId="0" borderId="54" xfId="0" applyNumberFormat="1" applyFont="1" applyBorder="1" applyAlignment="1">
      <alignment horizontal="center" vertical="center"/>
    </xf>
    <xf numFmtId="0" fontId="17" fillId="0" borderId="35" xfId="0" applyFont="1" applyBorder="1"/>
    <xf numFmtId="0" fontId="17" fillId="0" borderId="27" xfId="0" applyFont="1" applyBorder="1"/>
    <xf numFmtId="3" fontId="17" fillId="0" borderId="26" xfId="0" applyNumberFormat="1" applyFont="1" applyBorder="1"/>
    <xf numFmtId="0" fontId="21" fillId="0" borderId="50" xfId="0" applyFont="1" applyBorder="1" applyAlignment="1">
      <alignment horizontal="center" vertical="center" shrinkToFit="1"/>
    </xf>
    <xf numFmtId="4" fontId="17" fillId="0" borderId="3" xfId="0" applyNumberFormat="1" applyFont="1" applyBorder="1" applyAlignment="1">
      <alignment horizontal="center" vertical="center"/>
    </xf>
    <xf numFmtId="3" fontId="18" fillId="0" borderId="40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4" fontId="17" fillId="0" borderId="18" xfId="0" applyNumberFormat="1" applyFont="1" applyBorder="1" applyAlignment="1">
      <alignment horizontal="center" vertical="center"/>
    </xf>
    <xf numFmtId="3" fontId="17" fillId="0" borderId="18" xfId="0" applyNumberFormat="1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4" fontId="17" fillId="0" borderId="27" xfId="0" applyNumberFormat="1" applyFont="1" applyBorder="1" applyAlignment="1">
      <alignment horizontal="center" vertical="center"/>
    </xf>
    <xf numFmtId="3" fontId="17" fillId="0" borderId="27" xfId="0" applyNumberFormat="1" applyFont="1" applyBorder="1" applyAlignment="1">
      <alignment horizontal="center" vertical="center"/>
    </xf>
    <xf numFmtId="3" fontId="18" fillId="0" borderId="26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4" borderId="17" xfId="0" applyFont="1" applyFill="1" applyBorder="1" applyAlignment="1">
      <alignment horizontal="left" vertical="center" indent="4" shrinkToFit="1"/>
    </xf>
    <xf numFmtId="0" fontId="9" fillId="4" borderId="13" xfId="0" applyFont="1" applyFill="1" applyBorder="1" applyAlignment="1">
      <alignment horizontal="left" vertical="center" indent="4" shrinkToFit="1"/>
    </xf>
    <xf numFmtId="0" fontId="9" fillId="4" borderId="12" xfId="0" applyFont="1" applyFill="1" applyBorder="1" applyAlignment="1">
      <alignment horizontal="left" vertical="center" indent="4" shrinkToFit="1"/>
    </xf>
    <xf numFmtId="0" fontId="9" fillId="4" borderId="33" xfId="0" applyFont="1" applyFill="1" applyBorder="1" applyAlignment="1">
      <alignment horizontal="left" vertical="center" indent="4" shrinkToFit="1"/>
    </xf>
    <xf numFmtId="0" fontId="9" fillId="4" borderId="16" xfId="0" applyFont="1" applyFill="1" applyBorder="1" applyAlignment="1">
      <alignment horizontal="left" vertical="center" indent="4" shrinkToFit="1"/>
    </xf>
    <xf numFmtId="0" fontId="9" fillId="4" borderId="15" xfId="0" applyFont="1" applyFill="1" applyBorder="1" applyAlignment="1">
      <alignment horizontal="left" vertical="center" indent="4" shrinkToFit="1"/>
    </xf>
    <xf numFmtId="0" fontId="9" fillId="4" borderId="34" xfId="0" applyFont="1" applyFill="1" applyBorder="1" applyAlignment="1">
      <alignment horizontal="left" vertical="center" indent="4" shrinkToFit="1"/>
    </xf>
    <xf numFmtId="0" fontId="9" fillId="4" borderId="25" xfId="0" applyFont="1" applyFill="1" applyBorder="1" applyAlignment="1">
      <alignment horizontal="left" vertical="center" indent="4" shrinkToFit="1"/>
    </xf>
    <xf numFmtId="0" fontId="9" fillId="4" borderId="46" xfId="0" applyFont="1" applyFill="1" applyBorder="1" applyAlignment="1">
      <alignment horizontal="left" vertical="center" indent="4" shrinkToFit="1"/>
    </xf>
    <xf numFmtId="0" fontId="9" fillId="4" borderId="47" xfId="0" applyFont="1" applyFill="1" applyBorder="1" applyAlignment="1">
      <alignment horizontal="left" vertical="center" indent="4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3" fontId="7" fillId="0" borderId="43" xfId="0" applyNumberFormat="1" applyFont="1" applyBorder="1" applyAlignment="1">
      <alignment horizontal="center" vertical="center"/>
    </xf>
    <xf numFmtId="3" fontId="7" fillId="0" borderId="4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7" fillId="3" borderId="29" xfId="0" applyFont="1" applyFill="1" applyBorder="1" applyAlignment="1">
      <alignment horizontal="center" vertical="center" shrinkToFit="1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/>
    </xf>
    <xf numFmtId="3" fontId="7" fillId="0" borderId="46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9" fontId="6" fillId="5" borderId="54" xfId="1" applyFont="1" applyFill="1" applyBorder="1" applyAlignment="1">
      <alignment horizontal="center" vertical="center"/>
    </xf>
    <xf numFmtId="9" fontId="6" fillId="5" borderId="26" xfId="1" applyFont="1" applyFill="1" applyBorder="1" applyAlignment="1">
      <alignment horizontal="center" vertical="center"/>
    </xf>
    <xf numFmtId="10" fontId="7" fillId="0" borderId="21" xfId="1" applyNumberFormat="1" applyFont="1" applyBorder="1" applyAlignment="1">
      <alignment horizontal="center" vertical="center"/>
    </xf>
    <xf numFmtId="10" fontId="7" fillId="0" borderId="2" xfId="1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3" fontId="6" fillId="6" borderId="41" xfId="0" applyNumberFormat="1" applyFont="1" applyFill="1" applyBorder="1" applyAlignment="1">
      <alignment horizontal="center" vertical="center"/>
    </xf>
    <xf numFmtId="3" fontId="6" fillId="6" borderId="23" xfId="0" applyNumberFormat="1" applyFont="1" applyFill="1" applyBorder="1" applyAlignment="1">
      <alignment horizontal="center" vertical="center"/>
    </xf>
    <xf numFmtId="3" fontId="6" fillId="6" borderId="19" xfId="0" applyNumberFormat="1" applyFont="1" applyFill="1" applyBorder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6" fillId="0" borderId="55" xfId="0" applyFont="1" applyBorder="1" applyAlignment="1">
      <alignment vertical="center"/>
    </xf>
    <xf numFmtId="0" fontId="6" fillId="0" borderId="56" xfId="0" applyFont="1" applyBorder="1" applyAlignment="1">
      <alignment vertical="center"/>
    </xf>
    <xf numFmtId="0" fontId="9" fillId="4" borderId="13" xfId="0" applyFont="1" applyFill="1" applyBorder="1" applyAlignment="1">
      <alignment horizontal="center" vertical="center" shrinkToFit="1"/>
    </xf>
    <xf numFmtId="0" fontId="9" fillId="4" borderId="25" xfId="0" applyFont="1" applyFill="1" applyBorder="1" applyAlignment="1">
      <alignment horizontal="center" vertical="center" shrinkToFit="1"/>
    </xf>
    <xf numFmtId="0" fontId="9" fillId="4" borderId="16" xfId="0" applyFont="1" applyFill="1" applyBorder="1" applyAlignment="1">
      <alignment horizontal="center" vertical="center" shrinkToFit="1"/>
    </xf>
    <xf numFmtId="0" fontId="9" fillId="4" borderId="47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49" xfId="0" applyFont="1" applyBorder="1" applyAlignment="1">
      <alignment vertical="center"/>
    </xf>
    <xf numFmtId="0" fontId="7" fillId="3" borderId="30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7" fillId="3" borderId="32" xfId="0" applyFont="1" applyFill="1" applyBorder="1" applyAlignment="1">
      <alignment horizontal="center" vertical="center" shrinkToFit="1"/>
    </xf>
    <xf numFmtId="0" fontId="7" fillId="3" borderId="39" xfId="0" applyFont="1" applyFill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6" fillId="0" borderId="37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9" fillId="0" borderId="48" xfId="0" applyFont="1" applyBorder="1" applyAlignment="1">
      <alignment horizontal="center" vertical="center" shrinkToFit="1"/>
    </xf>
    <xf numFmtId="3" fontId="18" fillId="2" borderId="60" xfId="0" applyNumberFormat="1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9" fontId="17" fillId="5" borderId="54" xfId="1" applyFont="1" applyFill="1" applyBorder="1" applyAlignment="1">
      <alignment horizontal="center" vertical="center"/>
    </xf>
    <xf numFmtId="9" fontId="17" fillId="5" borderId="26" xfId="1" applyFont="1" applyFill="1" applyBorder="1" applyAlignment="1">
      <alignment horizontal="center" vertical="center"/>
    </xf>
    <xf numFmtId="10" fontId="18" fillId="0" borderId="21" xfId="1" applyNumberFormat="1" applyFont="1" applyBorder="1" applyAlignment="1">
      <alignment horizontal="center" vertical="center"/>
    </xf>
    <xf numFmtId="10" fontId="18" fillId="0" borderId="2" xfId="1" applyNumberFormat="1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3" fontId="17" fillId="6" borderId="41" xfId="0" applyNumberFormat="1" applyFont="1" applyFill="1" applyBorder="1" applyAlignment="1">
      <alignment horizontal="center" vertical="center"/>
    </xf>
    <xf numFmtId="3" fontId="17" fillId="6" borderId="23" xfId="0" applyNumberFormat="1" applyFont="1" applyFill="1" applyBorder="1" applyAlignment="1">
      <alignment horizontal="center" vertical="center"/>
    </xf>
    <xf numFmtId="3" fontId="17" fillId="6" borderId="19" xfId="0" applyNumberFormat="1" applyFont="1" applyFill="1" applyBorder="1" applyAlignment="1">
      <alignment horizontal="center" vertical="center"/>
    </xf>
    <xf numFmtId="3" fontId="17" fillId="6" borderId="10" xfId="0" applyNumberFormat="1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 shrinkToFit="1"/>
    </xf>
    <xf numFmtId="0" fontId="17" fillId="3" borderId="29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3" fontId="18" fillId="0" borderId="1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3" fontId="18" fillId="0" borderId="34" xfId="0" applyNumberFormat="1" applyFont="1" applyBorder="1" applyAlignment="1">
      <alignment horizontal="center" vertical="center"/>
    </xf>
    <xf numFmtId="3" fontId="18" fillId="0" borderId="35" xfId="0" applyNumberFormat="1" applyFont="1" applyBorder="1" applyAlignment="1">
      <alignment horizontal="center" vertical="center"/>
    </xf>
    <xf numFmtId="3" fontId="18" fillId="0" borderId="21" xfId="0" applyNumberFormat="1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28" xfId="0" applyFont="1" applyBorder="1" applyAlignment="1">
      <alignment vertical="center"/>
    </xf>
    <xf numFmtId="0" fontId="17" fillId="0" borderId="55" xfId="0" applyFont="1" applyBorder="1" applyAlignment="1">
      <alignment vertical="center"/>
    </xf>
    <xf numFmtId="0" fontId="17" fillId="0" borderId="56" xfId="0" applyFont="1" applyBorder="1" applyAlignment="1">
      <alignment vertical="center"/>
    </xf>
    <xf numFmtId="0" fontId="21" fillId="4" borderId="48" xfId="0" applyFont="1" applyFill="1" applyBorder="1" applyAlignment="1">
      <alignment horizontal="center" vertical="center" shrinkToFit="1"/>
    </xf>
    <xf numFmtId="0" fontId="21" fillId="4" borderId="0" xfId="0" applyFont="1" applyFill="1" applyAlignment="1">
      <alignment horizontal="center" vertical="center" shrinkToFit="1"/>
    </xf>
    <xf numFmtId="0" fontId="21" fillId="4" borderId="46" xfId="0" applyFont="1" applyFill="1" applyBorder="1" applyAlignment="1">
      <alignment horizontal="center" vertical="center" shrinkToFit="1"/>
    </xf>
    <xf numFmtId="0" fontId="21" fillId="4" borderId="16" xfId="0" applyFont="1" applyFill="1" applyBorder="1" applyAlignment="1">
      <alignment horizontal="center" vertical="center" shrinkToFit="1"/>
    </xf>
    <xf numFmtId="0" fontId="21" fillId="4" borderId="34" xfId="0" applyFont="1" applyFill="1" applyBorder="1" applyAlignment="1">
      <alignment horizontal="center" vertical="center" shrinkToFit="1"/>
    </xf>
    <xf numFmtId="0" fontId="21" fillId="4" borderId="13" xfId="0" applyFont="1" applyFill="1" applyBorder="1" applyAlignment="1">
      <alignment horizontal="center" vertical="center" shrinkToFit="1"/>
    </xf>
    <xf numFmtId="0" fontId="21" fillId="4" borderId="25" xfId="0" applyFont="1" applyFill="1" applyBorder="1" applyAlignment="1">
      <alignment horizontal="center" vertical="center" shrinkToFit="1"/>
    </xf>
    <xf numFmtId="0" fontId="21" fillId="4" borderId="47" xfId="0" applyFont="1" applyFill="1" applyBorder="1" applyAlignment="1">
      <alignment horizontal="center" vertical="center" shrinkToFit="1"/>
    </xf>
    <xf numFmtId="0" fontId="17" fillId="0" borderId="50" xfId="0" applyFont="1" applyBorder="1" applyAlignment="1">
      <alignment horizontal="center" shrinkToFit="1"/>
    </xf>
    <xf numFmtId="0" fontId="17" fillId="0" borderId="3" xfId="0" applyFont="1" applyBorder="1" applyAlignment="1">
      <alignment horizontal="center" shrinkToFit="1"/>
    </xf>
    <xf numFmtId="0" fontId="17" fillId="0" borderId="40" xfId="0" applyFont="1" applyBorder="1" applyAlignment="1">
      <alignment horizontal="center" shrinkToFit="1"/>
    </xf>
    <xf numFmtId="0" fontId="21" fillId="4" borderId="49" xfId="0" applyFont="1" applyFill="1" applyBorder="1" applyAlignment="1">
      <alignment horizontal="center" vertical="center" shrinkToFit="1"/>
    </xf>
    <xf numFmtId="0" fontId="18" fillId="3" borderId="21" xfId="0" applyFont="1" applyFill="1" applyBorder="1" applyAlignment="1">
      <alignment horizontal="center" vertical="center" shrinkToFit="1"/>
    </xf>
    <xf numFmtId="0" fontId="17" fillId="3" borderId="21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49" xfId="0" applyFont="1" applyBorder="1" applyAlignment="1">
      <alignment vertical="center"/>
    </xf>
    <xf numFmtId="0" fontId="18" fillId="3" borderId="30" xfId="0" applyFont="1" applyFill="1" applyBorder="1" applyAlignment="1">
      <alignment horizontal="center" vertical="center" shrinkToFit="1"/>
    </xf>
    <xf numFmtId="0" fontId="17" fillId="3" borderId="32" xfId="0" applyFont="1" applyFill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37" xfId="0" applyFont="1" applyBorder="1" applyAlignment="1">
      <alignment vertical="center"/>
    </xf>
    <xf numFmtId="0" fontId="17" fillId="0" borderId="52" xfId="0" applyFont="1" applyBorder="1" applyAlignment="1">
      <alignment vertical="center"/>
    </xf>
    <xf numFmtId="0" fontId="21" fillId="0" borderId="48" xfId="0" applyFont="1" applyBorder="1" applyAlignment="1">
      <alignment horizontal="center" vertical="center" shrinkToFit="1"/>
    </xf>
    <xf numFmtId="0" fontId="18" fillId="3" borderId="32" xfId="0" applyFont="1" applyFill="1" applyBorder="1" applyAlignment="1">
      <alignment horizontal="center" vertical="center" shrinkToFit="1"/>
    </xf>
    <xf numFmtId="0" fontId="18" fillId="3" borderId="39" xfId="0" applyFont="1" applyFill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7" fillId="0" borderId="38" xfId="0" applyFont="1" applyBorder="1" applyAlignment="1">
      <alignment vertical="center"/>
    </xf>
  </cellXfs>
  <cellStyles count="2">
    <cellStyle name="Normal" xfId="0" builtinId="0"/>
    <cellStyle name="Percent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  <color rgb="FF99FFCC"/>
      <color rgb="FF66FFCC"/>
      <color rgb="FF66FFFF"/>
      <color rgb="FFCC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A1F40-0F7F-4069-9436-1F496243A911}">
  <sheetPr codeName="Feuil14">
    <tabColor rgb="FF92D050"/>
    <pageSetUpPr fitToPage="1"/>
  </sheetPr>
  <dimension ref="A1:W118"/>
  <sheetViews>
    <sheetView showGridLines="0" tabSelected="1" zoomScale="115" zoomScaleNormal="115" zoomScaleSheetLayoutView="100" workbookViewId="0">
      <selection activeCell="W19" sqref="W19"/>
    </sheetView>
  </sheetViews>
  <sheetFormatPr defaultColWidth="11.453125" defaultRowHeight="14.5" x14ac:dyDescent="0.35"/>
  <cols>
    <col min="1" max="1" width="7" style="4" bestFit="1" customWidth="1"/>
    <col min="2" max="2" width="51.81640625" style="4" customWidth="1"/>
    <col min="3" max="3" width="6" style="4" hidden="1" customWidth="1"/>
    <col min="4" max="4" width="8.26953125" style="4" hidden="1" customWidth="1"/>
    <col min="5" max="5" width="11.54296875" style="4" hidden="1" customWidth="1"/>
    <col min="6" max="6" width="14.1796875" style="4" hidden="1" customWidth="1"/>
    <col min="7" max="7" width="11.54296875" style="4" hidden="1" customWidth="1"/>
    <col min="8" max="15" width="14.1796875" style="4" hidden="1" customWidth="1"/>
    <col min="16" max="16" width="19.1796875" style="4" customWidth="1"/>
    <col min="17" max="18" width="14.1796875" style="4" hidden="1" customWidth="1"/>
    <col min="19" max="19" width="14.1796875" style="125" customWidth="1"/>
    <col min="20" max="20" width="11.453125" style="2"/>
    <col min="21" max="16384" width="11.453125" style="4"/>
  </cols>
  <sheetData>
    <row r="1" spans="1:19" x14ac:dyDescent="0.35">
      <c r="A1" s="154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9" t="s">
        <v>5</v>
      </c>
      <c r="G1" s="8" t="s">
        <v>4</v>
      </c>
      <c r="H1" s="9" t="s">
        <v>5</v>
      </c>
      <c r="I1" s="8" t="s">
        <v>4</v>
      </c>
      <c r="J1" s="9" t="s">
        <v>5</v>
      </c>
      <c r="K1" s="8" t="s">
        <v>4</v>
      </c>
      <c r="L1" s="9" t="s">
        <v>5</v>
      </c>
      <c r="M1" s="8" t="s">
        <v>4</v>
      </c>
      <c r="N1" s="9" t="s">
        <v>5</v>
      </c>
      <c r="O1" s="8" t="s">
        <v>4</v>
      </c>
      <c r="P1" s="9" t="s">
        <v>5</v>
      </c>
      <c r="Q1" s="10" t="s">
        <v>4</v>
      </c>
      <c r="R1" s="11" t="s">
        <v>5</v>
      </c>
      <c r="S1" s="119"/>
    </row>
    <row r="2" spans="1:19" ht="15" thickBot="1" x14ac:dyDescent="0.4">
      <c r="A2" s="155"/>
      <c r="B2" s="12"/>
      <c r="C2" s="13"/>
      <c r="D2" s="14"/>
      <c r="E2" s="15"/>
      <c r="F2" s="16" t="s">
        <v>47</v>
      </c>
      <c r="G2" s="15"/>
      <c r="H2" s="16" t="s">
        <v>47</v>
      </c>
      <c r="I2" s="15"/>
      <c r="J2" s="16" t="s">
        <v>47</v>
      </c>
      <c r="K2" s="15"/>
      <c r="L2" s="16" t="s">
        <v>47</v>
      </c>
      <c r="M2" s="15"/>
      <c r="N2" s="16" t="s">
        <v>47</v>
      </c>
      <c r="O2" s="15"/>
      <c r="P2" s="16" t="s">
        <v>144</v>
      </c>
      <c r="Q2" s="15"/>
      <c r="R2" s="17" t="s">
        <v>47</v>
      </c>
      <c r="S2" s="120"/>
    </row>
    <row r="3" spans="1:19" ht="14.15" customHeight="1" x14ac:dyDescent="0.35">
      <c r="A3" s="354" t="s">
        <v>17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6"/>
      <c r="Q3" s="394"/>
      <c r="R3" s="395"/>
      <c r="S3" s="121"/>
    </row>
    <row r="4" spans="1:19" ht="14.15" customHeight="1" thickBot="1" x14ac:dyDescent="0.4">
      <c r="A4" s="357"/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9"/>
      <c r="Q4" s="396"/>
      <c r="R4" s="397"/>
      <c r="S4" s="121"/>
    </row>
    <row r="5" spans="1:19" ht="8.15" customHeight="1" x14ac:dyDescent="0.35">
      <c r="A5" s="418"/>
      <c r="B5" s="398"/>
      <c r="C5" s="398"/>
      <c r="D5" s="398"/>
      <c r="E5" s="398"/>
      <c r="F5" s="409"/>
      <c r="G5" s="398"/>
      <c r="H5" s="409"/>
      <c r="I5" s="398"/>
      <c r="J5" s="409"/>
      <c r="K5" s="398"/>
      <c r="L5" s="409"/>
      <c r="M5" s="398"/>
      <c r="N5" s="398"/>
      <c r="O5" s="372"/>
      <c r="P5" s="373"/>
      <c r="Q5" s="398"/>
      <c r="R5" s="399"/>
      <c r="S5" s="122"/>
    </row>
    <row r="6" spans="1:19" ht="14.15" customHeight="1" x14ac:dyDescent="0.35">
      <c r="A6" s="20" t="s">
        <v>12</v>
      </c>
      <c r="B6" s="21" t="s">
        <v>18</v>
      </c>
      <c r="C6" s="22" t="s">
        <v>6</v>
      </c>
      <c r="D6" s="23">
        <v>1</v>
      </c>
      <c r="E6" s="23">
        <v>4000000</v>
      </c>
      <c r="F6" s="24">
        <f>E6*D6</f>
        <v>4000000</v>
      </c>
      <c r="G6" s="25">
        <v>6266265</v>
      </c>
      <c r="H6" s="26">
        <f>G6*D6</f>
        <v>6266265</v>
      </c>
      <c r="I6" s="25">
        <v>2976190</v>
      </c>
      <c r="J6" s="26">
        <f>I6*D6</f>
        <v>2976190</v>
      </c>
      <c r="K6" s="23">
        <v>100000</v>
      </c>
      <c r="L6" s="24">
        <f>K6*D6</f>
        <v>100000</v>
      </c>
      <c r="M6" s="23">
        <v>1300000</v>
      </c>
      <c r="N6" s="41">
        <f>M6*D6</f>
        <v>1300000</v>
      </c>
      <c r="O6" s="42">
        <v>450000</v>
      </c>
      <c r="P6" s="24"/>
      <c r="Q6" s="48">
        <f>(O6/E6)-1</f>
        <v>-0.88749999999999996</v>
      </c>
      <c r="R6" s="27">
        <f>(P6/F6)-1</f>
        <v>-1</v>
      </c>
      <c r="S6" s="123"/>
    </row>
    <row r="7" spans="1:19" ht="7.5" customHeight="1" x14ac:dyDescent="0.35">
      <c r="A7" s="29"/>
      <c r="B7" s="30"/>
      <c r="C7" s="30"/>
      <c r="D7" s="30"/>
      <c r="E7" s="30"/>
      <c r="F7" s="31"/>
      <c r="G7" s="30"/>
      <c r="H7" s="24"/>
      <c r="I7" s="30"/>
      <c r="J7" s="24"/>
      <c r="K7" s="30"/>
      <c r="L7" s="24"/>
      <c r="M7" s="30"/>
      <c r="N7" s="41"/>
      <c r="O7" s="42"/>
      <c r="P7" s="24"/>
      <c r="Q7" s="147"/>
      <c r="R7" s="23"/>
      <c r="S7" s="124"/>
    </row>
    <row r="8" spans="1:19" ht="14.15" customHeight="1" x14ac:dyDescent="0.35">
      <c r="A8" s="20" t="s">
        <v>13</v>
      </c>
      <c r="B8" s="21" t="s">
        <v>25</v>
      </c>
      <c r="C8" s="22" t="s">
        <v>58</v>
      </c>
      <c r="D8" s="23">
        <v>180</v>
      </c>
      <c r="E8" s="23">
        <v>2500</v>
      </c>
      <c r="F8" s="24">
        <f>E8*D8</f>
        <v>450000</v>
      </c>
      <c r="G8" s="25">
        <v>1219</v>
      </c>
      <c r="H8" s="26">
        <f>G8*D8</f>
        <v>219420</v>
      </c>
      <c r="I8" s="25">
        <v>11905</v>
      </c>
      <c r="J8" s="26">
        <f>I8*D8</f>
        <v>2142900</v>
      </c>
      <c r="K8" s="23">
        <v>1000</v>
      </c>
      <c r="L8" s="24">
        <f>K8*D8</f>
        <v>180000</v>
      </c>
      <c r="M8" s="23">
        <v>10000</v>
      </c>
      <c r="N8" s="41">
        <f>M8*D8</f>
        <v>1800000</v>
      </c>
      <c r="O8" s="42">
        <f>+K8</f>
        <v>1000</v>
      </c>
      <c r="P8" s="24"/>
      <c r="Q8" s="48">
        <f>(O8/E8)-1</f>
        <v>-0.6</v>
      </c>
      <c r="R8" s="27">
        <f>(P8/F8)-1</f>
        <v>-1</v>
      </c>
      <c r="S8" s="123"/>
    </row>
    <row r="9" spans="1:19" ht="7.5" customHeight="1" x14ac:dyDescent="0.35">
      <c r="A9" s="29"/>
      <c r="B9" s="30"/>
      <c r="C9" s="30"/>
      <c r="D9" s="30"/>
      <c r="E9" s="33"/>
      <c r="F9" s="31"/>
      <c r="G9" s="33"/>
      <c r="H9" s="24"/>
      <c r="I9" s="33"/>
      <c r="J9" s="24"/>
      <c r="K9" s="33"/>
      <c r="L9" s="24"/>
      <c r="M9" s="33"/>
      <c r="N9" s="41"/>
      <c r="O9" s="42"/>
      <c r="P9" s="24"/>
      <c r="Q9" s="43"/>
      <c r="R9" s="23"/>
      <c r="S9" s="124"/>
    </row>
    <row r="10" spans="1:19" ht="14.15" customHeight="1" x14ac:dyDescent="0.35">
      <c r="A10" s="34" t="s">
        <v>20</v>
      </c>
      <c r="B10" s="35" t="s">
        <v>16</v>
      </c>
      <c r="C10" s="22" t="s">
        <v>6</v>
      </c>
      <c r="D10" s="23">
        <v>1</v>
      </c>
      <c r="E10" s="23"/>
      <c r="F10" s="24"/>
      <c r="G10" s="25">
        <v>255969</v>
      </c>
      <c r="H10" s="26">
        <f>G10*D10</f>
        <v>255969</v>
      </c>
      <c r="I10" s="25">
        <v>547619</v>
      </c>
      <c r="J10" s="26">
        <f>I10*D10</f>
        <v>547619</v>
      </c>
      <c r="K10" s="23">
        <v>350000</v>
      </c>
      <c r="L10" s="24">
        <f>K10*D10</f>
        <v>350000</v>
      </c>
      <c r="M10" s="23">
        <v>300000</v>
      </c>
      <c r="N10" s="41">
        <f>M10*D10</f>
        <v>300000</v>
      </c>
      <c r="O10" s="42">
        <v>125000</v>
      </c>
      <c r="P10" s="24"/>
      <c r="Q10" s="48" t="e">
        <f>(O10/E10)-1</f>
        <v>#DIV/0!</v>
      </c>
      <c r="R10" s="27" t="e">
        <f>(P10/F10)-1</f>
        <v>#DIV/0!</v>
      </c>
      <c r="S10" s="123"/>
    </row>
    <row r="11" spans="1:19" ht="7.5" customHeight="1" x14ac:dyDescent="0.35">
      <c r="A11" s="29"/>
      <c r="B11" s="30"/>
      <c r="C11" s="30"/>
      <c r="D11" s="30"/>
      <c r="E11" s="30"/>
      <c r="F11" s="31"/>
      <c r="G11" s="30"/>
      <c r="H11" s="24"/>
      <c r="I11" s="30"/>
      <c r="J11" s="24"/>
      <c r="K11" s="30"/>
      <c r="L11" s="24"/>
      <c r="M11" s="30"/>
      <c r="N11" s="41"/>
      <c r="O11" s="42"/>
      <c r="P11" s="24"/>
      <c r="Q11" s="43"/>
      <c r="R11" s="23"/>
      <c r="S11" s="124"/>
    </row>
    <row r="12" spans="1:19" ht="29" x14ac:dyDescent="0.35">
      <c r="A12" s="20" t="s">
        <v>19</v>
      </c>
      <c r="B12" s="102" t="s">
        <v>87</v>
      </c>
      <c r="C12" s="22" t="s">
        <v>6</v>
      </c>
      <c r="D12" s="23">
        <v>1</v>
      </c>
      <c r="E12" s="23"/>
      <c r="F12" s="24"/>
      <c r="G12" s="25">
        <v>365670</v>
      </c>
      <c r="H12" s="26">
        <f>G12*D12</f>
        <v>365670</v>
      </c>
      <c r="I12" s="25">
        <v>714286</v>
      </c>
      <c r="J12" s="26">
        <f>I12*D12</f>
        <v>714286</v>
      </c>
      <c r="K12" s="23">
        <v>600000</v>
      </c>
      <c r="L12" s="24">
        <f>K12*D12</f>
        <v>600000</v>
      </c>
      <c r="M12" s="23">
        <v>500000</v>
      </c>
      <c r="N12" s="41">
        <f>M12*D12</f>
        <v>500000</v>
      </c>
      <c r="O12" s="42">
        <v>400000</v>
      </c>
      <c r="P12" s="24"/>
      <c r="Q12" s="48" t="e">
        <f>(O12/E12)-1</f>
        <v>#DIV/0!</v>
      </c>
      <c r="R12" s="27" t="e">
        <f>(P12/F12)-1</f>
        <v>#DIV/0!</v>
      </c>
      <c r="S12" s="123"/>
    </row>
    <row r="13" spans="1:19" ht="8.15" customHeight="1" thickBot="1" x14ac:dyDescent="0.4">
      <c r="A13" s="413"/>
      <c r="B13" s="414"/>
      <c r="C13" s="414"/>
      <c r="D13" s="414"/>
      <c r="E13" s="414"/>
      <c r="F13" s="415"/>
      <c r="G13" s="414"/>
      <c r="H13" s="415"/>
      <c r="I13" s="414"/>
      <c r="J13" s="415"/>
      <c r="K13" s="414"/>
      <c r="L13" s="415"/>
      <c r="M13" s="414"/>
      <c r="N13" s="414"/>
      <c r="O13" s="416"/>
      <c r="P13" s="415"/>
      <c r="Q13" s="414"/>
      <c r="R13" s="417"/>
      <c r="S13" s="122"/>
    </row>
    <row r="14" spans="1:19" ht="14.15" customHeight="1" thickBot="1" x14ac:dyDescent="0.4">
      <c r="A14" s="400" t="s">
        <v>9</v>
      </c>
      <c r="B14" s="410"/>
      <c r="C14" s="410"/>
      <c r="D14" s="410"/>
      <c r="E14" s="411"/>
      <c r="F14" s="37">
        <f>SUM(F6:F12)</f>
        <v>4450000</v>
      </c>
      <c r="G14" s="38"/>
      <c r="H14" s="37">
        <f>SUM(H6:H12)</f>
        <v>7107324</v>
      </c>
      <c r="I14" s="38"/>
      <c r="J14" s="37">
        <f>SUM(J6:J12)</f>
        <v>6380995</v>
      </c>
      <c r="K14" s="38"/>
      <c r="L14" s="37">
        <f>SUM(L6:L12)</f>
        <v>1230000</v>
      </c>
      <c r="M14" s="38"/>
      <c r="N14" s="67">
        <f>SUM(N6:N12)</f>
        <v>3900000</v>
      </c>
      <c r="O14" s="148"/>
      <c r="P14" s="37"/>
      <c r="Q14" s="39"/>
      <c r="R14" s="40">
        <f>(P14/F14)-1</f>
        <v>-1</v>
      </c>
      <c r="S14" s="123"/>
    </row>
    <row r="15" spans="1:19" ht="14.15" customHeight="1" thickBot="1" x14ac:dyDescent="0.4">
      <c r="A15" s="412"/>
      <c r="B15" s="370"/>
      <c r="C15" s="370"/>
      <c r="D15" s="370"/>
      <c r="E15" s="370"/>
      <c r="F15" s="373"/>
      <c r="G15" s="370"/>
      <c r="H15" s="373"/>
      <c r="I15" s="370"/>
      <c r="J15" s="373"/>
      <c r="K15" s="370"/>
      <c r="L15" s="373"/>
      <c r="M15" s="370"/>
      <c r="N15" s="370"/>
      <c r="O15" s="372"/>
      <c r="P15" s="373"/>
      <c r="Q15" s="370"/>
      <c r="R15" s="371"/>
      <c r="S15" s="122"/>
    </row>
    <row r="16" spans="1:19" ht="14.15" customHeight="1" x14ac:dyDescent="0.35">
      <c r="A16" s="354" t="s">
        <v>48</v>
      </c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5"/>
      <c r="N16" s="355"/>
      <c r="O16" s="355"/>
      <c r="P16" s="356"/>
      <c r="Q16" s="394"/>
      <c r="R16" s="395"/>
      <c r="S16" s="121"/>
    </row>
    <row r="17" spans="1:23" ht="14.15" customHeight="1" thickBot="1" x14ac:dyDescent="0.4">
      <c r="A17" s="357"/>
      <c r="B17" s="358"/>
      <c r="C17" s="358"/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9"/>
      <c r="Q17" s="396"/>
      <c r="R17" s="397"/>
      <c r="S17" s="121"/>
    </row>
    <row r="18" spans="1:23" ht="8.15" customHeight="1" x14ac:dyDescent="0.35">
      <c r="A18" s="408"/>
      <c r="B18" s="398"/>
      <c r="C18" s="398"/>
      <c r="D18" s="398"/>
      <c r="E18" s="398"/>
      <c r="F18" s="409"/>
      <c r="G18" s="398"/>
      <c r="H18" s="409"/>
      <c r="I18" s="398"/>
      <c r="J18" s="398"/>
      <c r="K18" s="372"/>
      <c r="L18" s="373"/>
      <c r="M18" s="398"/>
      <c r="N18" s="398"/>
      <c r="O18" s="372"/>
      <c r="P18" s="373"/>
      <c r="Q18" s="398"/>
      <c r="R18" s="399"/>
      <c r="S18" s="122"/>
    </row>
    <row r="19" spans="1:23" ht="14.15" customHeight="1" x14ac:dyDescent="0.35">
      <c r="A19" s="20" t="s">
        <v>27</v>
      </c>
      <c r="B19" s="21" t="s">
        <v>49</v>
      </c>
      <c r="C19" s="22"/>
      <c r="D19" s="23"/>
      <c r="E19" s="23"/>
      <c r="F19" s="141" t="e">
        <f>+SUM(F20:F24)</f>
        <v>#REF!</v>
      </c>
      <c r="G19" s="141"/>
      <c r="H19" s="141"/>
      <c r="I19" s="141"/>
      <c r="J19" s="142"/>
      <c r="K19" s="143"/>
      <c r="L19" s="144"/>
      <c r="M19" s="145"/>
      <c r="N19" s="142"/>
      <c r="O19" s="143"/>
      <c r="P19" s="144"/>
      <c r="Q19" s="44" t="e">
        <f t="shared" ref="Q19:R34" si="0">(O19/E19)-1</f>
        <v>#DIV/0!</v>
      </c>
      <c r="R19" s="45" t="e">
        <f t="shared" si="0"/>
        <v>#REF!</v>
      </c>
      <c r="S19" s="123"/>
    </row>
    <row r="20" spans="1:23" ht="29" hidden="1" x14ac:dyDescent="0.35">
      <c r="A20" s="22" t="s">
        <v>117</v>
      </c>
      <c r="B20" s="81" t="s">
        <v>114</v>
      </c>
      <c r="C20" s="22" t="s">
        <v>54</v>
      </c>
      <c r="D20" s="118" t="e">
        <f>+(#REF!+#REF!+#REF!)*#REF!</f>
        <v>#REF!</v>
      </c>
      <c r="E20" s="23">
        <v>1900</v>
      </c>
      <c r="F20" s="24" t="e">
        <f>E20*D20</f>
        <v>#REF!</v>
      </c>
      <c r="G20" s="25">
        <v>18284</v>
      </c>
      <c r="H20" s="26" t="e">
        <f>G20*D20</f>
        <v>#REF!</v>
      </c>
      <c r="I20" s="25">
        <v>10714</v>
      </c>
      <c r="J20" s="47" t="e">
        <f>I20*D20</f>
        <v>#REF!</v>
      </c>
      <c r="K20" s="42">
        <v>6000</v>
      </c>
      <c r="L20" s="24" t="e">
        <f>K20*D20</f>
        <v>#REF!</v>
      </c>
      <c r="M20" s="43">
        <v>11000</v>
      </c>
      <c r="N20" s="41" t="e">
        <f>M20*D20</f>
        <v>#REF!</v>
      </c>
      <c r="O20" s="42">
        <v>4500</v>
      </c>
      <c r="P20" s="24"/>
      <c r="Q20" s="48">
        <f t="shared" si="0"/>
        <v>1.3684210526315788</v>
      </c>
      <c r="R20" s="27" t="e">
        <f t="shared" si="0"/>
        <v>#REF!</v>
      </c>
      <c r="S20" s="123"/>
      <c r="U20" s="28"/>
      <c r="V20" s="28"/>
      <c r="W20" s="28"/>
    </row>
    <row r="21" spans="1:23" ht="30" hidden="1" customHeight="1" x14ac:dyDescent="0.35">
      <c r="A21" s="22" t="s">
        <v>116</v>
      </c>
      <c r="B21" s="81" t="s">
        <v>115</v>
      </c>
      <c r="C21" s="22" t="s">
        <v>54</v>
      </c>
      <c r="D21" s="118" t="e">
        <f>#REF!*#REF!</f>
        <v>#REF!</v>
      </c>
      <c r="E21" s="23">
        <v>1900</v>
      </c>
      <c r="F21" s="24" t="e">
        <f>E21*D21</f>
        <v>#REF!</v>
      </c>
      <c r="G21" s="25">
        <v>18284</v>
      </c>
      <c r="H21" s="26" t="e">
        <f>G21*D21</f>
        <v>#REF!</v>
      </c>
      <c r="I21" s="25">
        <v>10714</v>
      </c>
      <c r="J21" s="47" t="e">
        <f>I21*D21</f>
        <v>#REF!</v>
      </c>
      <c r="K21" s="42">
        <v>6000</v>
      </c>
      <c r="L21" s="24" t="e">
        <f>K21*D21</f>
        <v>#REF!</v>
      </c>
      <c r="M21" s="43">
        <v>11000</v>
      </c>
      <c r="N21" s="41" t="e">
        <f>M21*D21</f>
        <v>#REF!</v>
      </c>
      <c r="O21" s="42">
        <v>5000</v>
      </c>
      <c r="P21" s="24"/>
      <c r="Q21" s="48">
        <f t="shared" si="0"/>
        <v>1.6315789473684212</v>
      </c>
      <c r="R21" s="27" t="e">
        <f t="shared" si="0"/>
        <v>#REF!</v>
      </c>
      <c r="S21" s="123"/>
      <c r="U21" s="28"/>
      <c r="V21" s="28"/>
      <c r="W21" s="28"/>
    </row>
    <row r="22" spans="1:23" ht="14.15" hidden="1" customHeight="1" x14ac:dyDescent="0.35">
      <c r="A22" s="22" t="s">
        <v>118</v>
      </c>
      <c r="B22" s="46" t="s">
        <v>138</v>
      </c>
      <c r="C22" s="22" t="s">
        <v>6</v>
      </c>
      <c r="D22" s="23">
        <v>1</v>
      </c>
      <c r="E22" s="23">
        <v>200000</v>
      </c>
      <c r="F22" s="24">
        <f>E22*D22</f>
        <v>200000</v>
      </c>
      <c r="G22" s="32">
        <v>200000</v>
      </c>
      <c r="H22" s="49">
        <f>G22*D22</f>
        <v>200000</v>
      </c>
      <c r="I22" s="32">
        <v>200000</v>
      </c>
      <c r="J22" s="50">
        <f t="shared" ref="J22:J24" si="1">I22*D22</f>
        <v>200000</v>
      </c>
      <c r="K22" s="42">
        <v>200000</v>
      </c>
      <c r="L22" s="24">
        <f>K22*D22</f>
        <v>200000</v>
      </c>
      <c r="M22" s="43">
        <v>200000</v>
      </c>
      <c r="N22" s="41">
        <f>M22*D22</f>
        <v>200000</v>
      </c>
      <c r="O22" s="42">
        <v>200000</v>
      </c>
      <c r="P22" s="24"/>
      <c r="Q22" s="51">
        <f t="shared" si="0"/>
        <v>0</v>
      </c>
      <c r="R22" s="52">
        <f t="shared" si="0"/>
        <v>-1</v>
      </c>
      <c r="S22" s="123"/>
      <c r="U22" s="28"/>
      <c r="V22" s="28"/>
      <c r="W22" s="28"/>
    </row>
    <row r="23" spans="1:23" customFormat="1" ht="14.15" hidden="1" customHeight="1" x14ac:dyDescent="0.25">
      <c r="A23" s="22" t="s">
        <v>119</v>
      </c>
      <c r="B23" s="46" t="s">
        <v>139</v>
      </c>
      <c r="C23" s="22" t="s">
        <v>6</v>
      </c>
      <c r="D23" s="23">
        <v>1</v>
      </c>
      <c r="E23" s="23">
        <v>135000</v>
      </c>
      <c r="F23" s="24">
        <f>E23*D23</f>
        <v>135000</v>
      </c>
      <c r="G23" s="23">
        <v>135000</v>
      </c>
      <c r="H23" s="24">
        <f>G21*D23</f>
        <v>18284</v>
      </c>
      <c r="I23" s="23">
        <v>135000</v>
      </c>
      <c r="J23" s="41">
        <f t="shared" si="1"/>
        <v>135000</v>
      </c>
      <c r="K23" s="42">
        <v>135000</v>
      </c>
      <c r="L23" s="24">
        <f>K23*D23</f>
        <v>135000</v>
      </c>
      <c r="M23" s="43">
        <v>135000</v>
      </c>
      <c r="N23" s="41">
        <f>M23*D23</f>
        <v>135000</v>
      </c>
      <c r="O23" s="42">
        <v>135000</v>
      </c>
      <c r="P23" s="24"/>
      <c r="Q23" s="146">
        <f t="shared" si="0"/>
        <v>0</v>
      </c>
      <c r="R23" s="1">
        <f t="shared" si="0"/>
        <v>-1</v>
      </c>
      <c r="S23" s="123"/>
      <c r="U23" s="28"/>
    </row>
    <row r="24" spans="1:23" customFormat="1" ht="14.15" hidden="1" customHeight="1" x14ac:dyDescent="0.25">
      <c r="A24" s="22" t="s">
        <v>132</v>
      </c>
      <c r="B24" s="46" t="s">
        <v>133</v>
      </c>
      <c r="C24" s="22" t="s">
        <v>8</v>
      </c>
      <c r="D24" s="23">
        <v>50</v>
      </c>
      <c r="E24" s="23">
        <v>5500</v>
      </c>
      <c r="F24" s="24">
        <f>E24*D24</f>
        <v>275000</v>
      </c>
      <c r="G24" s="23">
        <v>135000</v>
      </c>
      <c r="H24" s="24">
        <f>G22*D24</f>
        <v>10000000</v>
      </c>
      <c r="I24" s="23">
        <v>135000</v>
      </c>
      <c r="J24" s="41">
        <f t="shared" si="1"/>
        <v>6750000</v>
      </c>
      <c r="K24" s="42">
        <v>135000</v>
      </c>
      <c r="L24" s="24">
        <f>K24*D24</f>
        <v>6750000</v>
      </c>
      <c r="M24" s="43">
        <v>135000</v>
      </c>
      <c r="N24" s="41">
        <f>M24*D24</f>
        <v>6750000</v>
      </c>
      <c r="O24" s="42">
        <v>2500</v>
      </c>
      <c r="P24" s="24"/>
      <c r="Q24" s="146">
        <f t="shared" si="0"/>
        <v>-0.54545454545454541</v>
      </c>
      <c r="R24" s="1">
        <f t="shared" si="0"/>
        <v>-1</v>
      </c>
      <c r="S24" s="123"/>
      <c r="U24" s="28"/>
    </row>
    <row r="25" spans="1:23" ht="8.15" customHeight="1" x14ac:dyDescent="0.35">
      <c r="A25" s="29"/>
      <c r="B25" s="30"/>
      <c r="C25" s="30"/>
      <c r="D25" s="30"/>
      <c r="E25" s="30"/>
      <c r="F25" s="31"/>
      <c r="G25" s="30"/>
      <c r="H25" s="24"/>
      <c r="I25" s="30"/>
      <c r="J25" s="41"/>
      <c r="K25" s="57"/>
      <c r="L25" s="24"/>
      <c r="M25" s="30"/>
      <c r="N25" s="41"/>
      <c r="O25" s="57"/>
      <c r="P25" s="24"/>
      <c r="Q25" s="44"/>
      <c r="R25" s="45"/>
      <c r="S25" s="123"/>
      <c r="U25" s="28"/>
      <c r="V25" s="19"/>
      <c r="W25" s="19"/>
    </row>
    <row r="26" spans="1:23" ht="14.15" customHeight="1" x14ac:dyDescent="0.35">
      <c r="A26" s="20" t="s">
        <v>28</v>
      </c>
      <c r="B26" s="21" t="s">
        <v>46</v>
      </c>
      <c r="C26" s="22"/>
      <c r="D26" s="23"/>
      <c r="E26" s="23"/>
      <c r="F26" s="141" t="e">
        <f>+SUM(F27:F31)</f>
        <v>#REF!</v>
      </c>
      <c r="G26" s="141"/>
      <c r="H26" s="141"/>
      <c r="I26" s="141"/>
      <c r="J26" s="142"/>
      <c r="K26" s="143"/>
      <c r="L26" s="144"/>
      <c r="M26" s="145"/>
      <c r="N26" s="142"/>
      <c r="O26" s="143"/>
      <c r="P26" s="144"/>
      <c r="Q26" s="44" t="e">
        <f>(O26/E26)-1</f>
        <v>#DIV/0!</v>
      </c>
      <c r="R26" s="45" t="e">
        <f>(P26/F26)-1</f>
        <v>#REF!</v>
      </c>
      <c r="S26" s="123"/>
      <c r="U26" s="28"/>
      <c r="V26" s="28"/>
      <c r="W26" s="28"/>
    </row>
    <row r="27" spans="1:23" ht="33.75" hidden="1" customHeight="1" x14ac:dyDescent="0.35">
      <c r="A27" s="22" t="s">
        <v>31</v>
      </c>
      <c r="B27" s="81" t="s">
        <v>120</v>
      </c>
      <c r="C27" s="22" t="s">
        <v>6</v>
      </c>
      <c r="D27" s="23">
        <v>1</v>
      </c>
      <c r="E27" s="23" t="e">
        <f>F29*0.2</f>
        <v>#REF!</v>
      </c>
      <c r="F27" s="24" t="e">
        <f>E27*D27</f>
        <v>#REF!</v>
      </c>
      <c r="G27" s="25">
        <v>609450</v>
      </c>
      <c r="H27" s="26">
        <f t="shared" ref="H27:H34" si="2">G27*D27</f>
        <v>609450</v>
      </c>
      <c r="I27" s="25">
        <v>452381</v>
      </c>
      <c r="J27" s="47">
        <f t="shared" ref="J27:J34" si="3">I27*D27</f>
        <v>452381</v>
      </c>
      <c r="K27" s="42">
        <v>1000000</v>
      </c>
      <c r="L27" s="24">
        <f t="shared" ref="L27:L34" si="4">K27*D27</f>
        <v>1000000</v>
      </c>
      <c r="M27" s="43" t="e">
        <f>N28*0.2</f>
        <v>#REF!</v>
      </c>
      <c r="N27" s="41" t="e">
        <f>M27*D27</f>
        <v>#REF!</v>
      </c>
      <c r="O27" s="42">
        <f>P29*0.12</f>
        <v>0</v>
      </c>
      <c r="P27" s="24"/>
      <c r="Q27" s="48" t="e">
        <f t="shared" ref="Q27:R27" si="5">(O27/E27)-1</f>
        <v>#REF!</v>
      </c>
      <c r="R27" s="27" t="e">
        <f t="shared" si="5"/>
        <v>#REF!</v>
      </c>
      <c r="S27" s="123"/>
      <c r="T27" s="117" t="s">
        <v>86</v>
      </c>
      <c r="U27" s="28"/>
      <c r="V27" s="28"/>
      <c r="W27" s="28"/>
    </row>
    <row r="28" spans="1:23" ht="33.75" hidden="1" customHeight="1" x14ac:dyDescent="0.35">
      <c r="A28" s="22" t="s">
        <v>31</v>
      </c>
      <c r="B28" s="81" t="s">
        <v>121</v>
      </c>
      <c r="C28" s="22" t="s">
        <v>6</v>
      </c>
      <c r="D28" s="23">
        <v>1</v>
      </c>
      <c r="E28" s="23" t="e">
        <f>F30*0.2</f>
        <v>#REF!</v>
      </c>
      <c r="F28" s="24" t="e">
        <f>E28*D28</f>
        <v>#REF!</v>
      </c>
      <c r="G28" s="25">
        <v>609450</v>
      </c>
      <c r="H28" s="26">
        <f t="shared" si="2"/>
        <v>609450</v>
      </c>
      <c r="I28" s="25">
        <v>452381</v>
      </c>
      <c r="J28" s="47">
        <f t="shared" si="3"/>
        <v>452381</v>
      </c>
      <c r="K28" s="42">
        <v>1000000</v>
      </c>
      <c r="L28" s="24">
        <f t="shared" si="4"/>
        <v>1000000</v>
      </c>
      <c r="M28" s="43" t="e">
        <f>N29*0.2</f>
        <v>#REF!</v>
      </c>
      <c r="N28" s="41" t="e">
        <f>M28*D28</f>
        <v>#REF!</v>
      </c>
      <c r="O28" s="42">
        <f>P30*0.15</f>
        <v>0</v>
      </c>
      <c r="P28" s="24"/>
      <c r="Q28" s="48" t="e">
        <f t="shared" si="0"/>
        <v>#REF!</v>
      </c>
      <c r="R28" s="27" t="e">
        <f t="shared" si="0"/>
        <v>#REF!</v>
      </c>
      <c r="S28" s="123"/>
      <c r="T28" s="117" t="s">
        <v>86</v>
      </c>
      <c r="U28" s="28"/>
      <c r="V28" s="28"/>
      <c r="W28" s="28"/>
    </row>
    <row r="29" spans="1:23" ht="50.25" hidden="1" customHeight="1" x14ac:dyDescent="0.35">
      <c r="A29" s="22" t="s">
        <v>34</v>
      </c>
      <c r="B29" s="81" t="s">
        <v>122</v>
      </c>
      <c r="C29" s="22" t="s">
        <v>7</v>
      </c>
      <c r="D29" s="23" t="e">
        <f>+#REF!+#REF!+#REF!</f>
        <v>#REF!</v>
      </c>
      <c r="E29" s="23">
        <v>35000</v>
      </c>
      <c r="F29" s="24" t="e">
        <f>E29*D29</f>
        <v>#REF!</v>
      </c>
      <c r="G29" s="25">
        <v>24378</v>
      </c>
      <c r="H29" s="26" t="e">
        <f t="shared" si="2"/>
        <v>#REF!</v>
      </c>
      <c r="I29" s="25">
        <v>33333</v>
      </c>
      <c r="J29" s="47" t="e">
        <f t="shared" si="3"/>
        <v>#REF!</v>
      </c>
      <c r="K29" s="42">
        <v>26800</v>
      </c>
      <c r="L29" s="24" t="e">
        <f t="shared" si="4"/>
        <v>#REF!</v>
      </c>
      <c r="M29" s="43">
        <v>35000</v>
      </c>
      <c r="N29" s="41" t="e">
        <f>M29*D29</f>
        <v>#REF!</v>
      </c>
      <c r="O29" s="42">
        <v>23400</v>
      </c>
      <c r="P29" s="24"/>
      <c r="Q29" s="48">
        <f t="shared" si="0"/>
        <v>-0.33142857142857141</v>
      </c>
      <c r="R29" s="27" t="e">
        <f t="shared" si="0"/>
        <v>#REF!</v>
      </c>
      <c r="S29" s="123"/>
      <c r="U29" s="28"/>
      <c r="V29" s="28"/>
      <c r="W29" s="28"/>
    </row>
    <row r="30" spans="1:23" ht="33.75" hidden="1" customHeight="1" x14ac:dyDescent="0.35">
      <c r="A30" s="22" t="s">
        <v>34</v>
      </c>
      <c r="B30" s="81" t="s">
        <v>123</v>
      </c>
      <c r="C30" s="22" t="s">
        <v>7</v>
      </c>
      <c r="D30" s="23" t="e">
        <f>+#REF!</f>
        <v>#REF!</v>
      </c>
      <c r="E30" s="23">
        <v>35000</v>
      </c>
      <c r="F30" s="24" t="e">
        <f>E30*D30</f>
        <v>#REF!</v>
      </c>
      <c r="G30" s="25">
        <v>24378</v>
      </c>
      <c r="H30" s="26" t="e">
        <f t="shared" si="2"/>
        <v>#REF!</v>
      </c>
      <c r="I30" s="25">
        <v>33333</v>
      </c>
      <c r="J30" s="47" t="e">
        <f t="shared" si="3"/>
        <v>#REF!</v>
      </c>
      <c r="K30" s="42">
        <v>26800</v>
      </c>
      <c r="L30" s="24" t="e">
        <f t="shared" si="4"/>
        <v>#REF!</v>
      </c>
      <c r="M30" s="43">
        <v>35000</v>
      </c>
      <c r="N30" s="41" t="e">
        <f>M30*D30</f>
        <v>#REF!</v>
      </c>
      <c r="O30" s="42">
        <v>23400</v>
      </c>
      <c r="P30" s="24"/>
      <c r="Q30" s="48">
        <f t="shared" si="0"/>
        <v>-0.33142857142857141</v>
      </c>
      <c r="R30" s="27" t="e">
        <f t="shared" si="0"/>
        <v>#REF!</v>
      </c>
      <c r="S30" s="123"/>
      <c r="U30" s="28"/>
      <c r="V30" s="28"/>
      <c r="W30" s="28"/>
    </row>
    <row r="31" spans="1:23" ht="8.15" customHeight="1" x14ac:dyDescent="0.35">
      <c r="A31" s="29"/>
      <c r="B31" s="30"/>
      <c r="C31" s="30"/>
      <c r="D31" s="30"/>
      <c r="E31" s="30"/>
      <c r="F31" s="24"/>
      <c r="G31" s="23"/>
      <c r="H31" s="24"/>
      <c r="I31" s="30"/>
      <c r="J31" s="41"/>
      <c r="K31" s="57"/>
      <c r="L31" s="24"/>
      <c r="M31" s="30"/>
      <c r="N31" s="41"/>
      <c r="O31" s="57"/>
      <c r="P31" s="24"/>
      <c r="Q31" s="44"/>
      <c r="R31" s="45"/>
      <c r="S31" s="123"/>
      <c r="U31" s="19"/>
      <c r="V31" s="19"/>
      <c r="W31" s="28"/>
    </row>
    <row r="32" spans="1:23" ht="14.15" customHeight="1" x14ac:dyDescent="0.35">
      <c r="A32" s="20" t="s">
        <v>29</v>
      </c>
      <c r="B32" s="21" t="s">
        <v>35</v>
      </c>
      <c r="C32" s="22"/>
      <c r="D32" s="23"/>
      <c r="E32" s="23"/>
      <c r="F32" s="141">
        <f>+SUM(F33:F34)</f>
        <v>214000</v>
      </c>
      <c r="G32" s="23"/>
      <c r="H32" s="23"/>
      <c r="I32" s="23"/>
      <c r="J32" s="41"/>
      <c r="K32" s="42"/>
      <c r="L32" s="24"/>
      <c r="M32" s="43"/>
      <c r="N32" s="41"/>
      <c r="O32" s="42"/>
      <c r="P32" s="144"/>
      <c r="Q32" s="44" t="e">
        <f t="shared" si="0"/>
        <v>#DIV/0!</v>
      </c>
      <c r="R32" s="45">
        <f t="shared" si="0"/>
        <v>-1</v>
      </c>
      <c r="S32" s="123"/>
      <c r="U32" s="28"/>
      <c r="V32" s="28"/>
      <c r="W32" s="28"/>
    </row>
    <row r="33" spans="1:23" ht="14.15" hidden="1" customHeight="1" x14ac:dyDescent="0.35">
      <c r="A33" s="22" t="s">
        <v>63</v>
      </c>
      <c r="B33" s="58" t="s">
        <v>55</v>
      </c>
      <c r="C33" s="22" t="s">
        <v>8</v>
      </c>
      <c r="D33" s="23">
        <v>1</v>
      </c>
      <c r="E33" s="23">
        <v>4000</v>
      </c>
      <c r="F33" s="24">
        <f>E33*D33</f>
        <v>4000</v>
      </c>
      <c r="G33" s="25">
        <v>18284</v>
      </c>
      <c r="H33" s="26">
        <f t="shared" si="2"/>
        <v>18284</v>
      </c>
      <c r="I33" s="25">
        <v>9524</v>
      </c>
      <c r="J33" s="47">
        <f t="shared" si="3"/>
        <v>9524</v>
      </c>
      <c r="K33" s="42">
        <v>6000</v>
      </c>
      <c r="L33" s="24">
        <f t="shared" si="4"/>
        <v>6000</v>
      </c>
      <c r="M33" s="43">
        <v>10000</v>
      </c>
      <c r="N33" s="41">
        <f>M33*D33</f>
        <v>10000</v>
      </c>
      <c r="O33" s="42">
        <v>4600</v>
      </c>
      <c r="P33" s="24">
        <f>+O33*D33</f>
        <v>4600</v>
      </c>
      <c r="Q33" s="48">
        <f t="shared" si="0"/>
        <v>0.14999999999999991</v>
      </c>
      <c r="R33" s="27">
        <f t="shared" si="0"/>
        <v>0.14999999999999991</v>
      </c>
      <c r="S33" s="123"/>
      <c r="U33" s="28"/>
      <c r="V33" s="28"/>
      <c r="W33" s="28"/>
    </row>
    <row r="34" spans="1:23" s="113" customFormat="1" ht="14.15" hidden="1" customHeight="1" x14ac:dyDescent="0.35">
      <c r="A34" s="103" t="s">
        <v>64</v>
      </c>
      <c r="B34" s="104" t="s">
        <v>59</v>
      </c>
      <c r="C34" s="103" t="s">
        <v>8</v>
      </c>
      <c r="D34" s="105">
        <v>35</v>
      </c>
      <c r="E34" s="105">
        <v>6000</v>
      </c>
      <c r="F34" s="106">
        <f>E34*D34</f>
        <v>210000</v>
      </c>
      <c r="G34" s="105">
        <v>9142</v>
      </c>
      <c r="H34" s="106">
        <f t="shared" si="2"/>
        <v>319970</v>
      </c>
      <c r="I34" s="105">
        <v>9524</v>
      </c>
      <c r="J34" s="107">
        <f t="shared" si="3"/>
        <v>333340</v>
      </c>
      <c r="K34" s="108">
        <v>6000</v>
      </c>
      <c r="L34" s="106">
        <f t="shared" si="4"/>
        <v>210000</v>
      </c>
      <c r="M34" s="109">
        <v>10000</v>
      </c>
      <c r="N34" s="107">
        <f>M34*D34</f>
        <v>350000</v>
      </c>
      <c r="O34" s="108">
        <v>2000</v>
      </c>
      <c r="P34" s="106">
        <f>+O34*D34</f>
        <v>70000</v>
      </c>
      <c r="Q34" s="111">
        <f t="shared" si="0"/>
        <v>-0.66666666666666674</v>
      </c>
      <c r="R34" s="112">
        <f t="shared" si="0"/>
        <v>-0.66666666666666674</v>
      </c>
      <c r="S34" s="123"/>
      <c r="T34" s="110" t="s">
        <v>85</v>
      </c>
      <c r="U34" s="114"/>
      <c r="V34" s="114"/>
      <c r="W34" s="114"/>
    </row>
    <row r="35" spans="1:23" ht="8.15" customHeight="1" thickBot="1" x14ac:dyDescent="0.4">
      <c r="A35" s="59"/>
      <c r="B35" s="60"/>
      <c r="C35" s="61"/>
      <c r="D35" s="28"/>
      <c r="E35" s="28"/>
      <c r="F35" s="62"/>
      <c r="G35" s="28"/>
      <c r="H35" s="62"/>
      <c r="I35" s="28"/>
      <c r="J35" s="28"/>
      <c r="K35" s="63"/>
      <c r="L35" s="64"/>
      <c r="M35" s="28"/>
      <c r="N35" s="28"/>
      <c r="O35" s="65"/>
      <c r="P35" s="62"/>
      <c r="Q35" s="28"/>
      <c r="R35" s="66"/>
      <c r="S35" s="124"/>
    </row>
    <row r="36" spans="1:23" ht="14.15" customHeight="1" thickBot="1" x14ac:dyDescent="0.4">
      <c r="A36" s="400" t="s">
        <v>26</v>
      </c>
      <c r="B36" s="401"/>
      <c r="C36" s="401"/>
      <c r="D36" s="401"/>
      <c r="E36" s="401"/>
      <c r="F36" s="37" t="e">
        <f>+SUM(F19:F34)-F32-F26-F19</f>
        <v>#REF!</v>
      </c>
      <c r="G36" s="38"/>
      <c r="H36" s="37" t="e">
        <f>SUM(H21:H34)</f>
        <v>#REF!</v>
      </c>
      <c r="I36" s="38"/>
      <c r="J36" s="37" t="e">
        <f>SUM(J21:J34)</f>
        <v>#REF!</v>
      </c>
      <c r="K36" s="38"/>
      <c r="L36" s="37" t="e">
        <f>SUM(L21:L34)</f>
        <v>#REF!</v>
      </c>
      <c r="M36" s="38"/>
      <c r="N36" s="67" t="e">
        <f>SUM(N21:N34)</f>
        <v>#REF!</v>
      </c>
      <c r="O36" s="68"/>
      <c r="P36" s="37"/>
      <c r="Q36" s="39"/>
      <c r="R36" s="40" t="e">
        <f>(P36/F36)-1</f>
        <v>#REF!</v>
      </c>
      <c r="S36" s="123"/>
    </row>
    <row r="37" spans="1:23" ht="14.15" customHeight="1" thickBot="1" x14ac:dyDescent="0.4">
      <c r="A37" s="402"/>
      <c r="B37" s="403"/>
      <c r="C37" s="403"/>
      <c r="D37" s="403"/>
      <c r="E37" s="403"/>
      <c r="F37" s="404"/>
      <c r="G37" s="403"/>
      <c r="H37" s="404"/>
      <c r="I37" s="403"/>
      <c r="J37" s="404"/>
      <c r="K37" s="403"/>
      <c r="L37" s="404"/>
      <c r="M37" s="403"/>
      <c r="N37" s="403"/>
      <c r="O37" s="405"/>
      <c r="P37" s="406"/>
      <c r="Q37" s="403"/>
      <c r="R37" s="407"/>
      <c r="S37" s="124"/>
    </row>
    <row r="38" spans="1:23" ht="13.9" customHeight="1" x14ac:dyDescent="0.35">
      <c r="A38" s="354" t="s">
        <v>36</v>
      </c>
      <c r="B38" s="355"/>
      <c r="C38" s="355"/>
      <c r="D38" s="355"/>
      <c r="E38" s="355"/>
      <c r="F38" s="355"/>
      <c r="G38" s="355"/>
      <c r="H38" s="355"/>
      <c r="I38" s="355"/>
      <c r="J38" s="355"/>
      <c r="K38" s="355"/>
      <c r="L38" s="355"/>
      <c r="M38" s="355"/>
      <c r="N38" s="355"/>
      <c r="O38" s="355"/>
      <c r="P38" s="356"/>
      <c r="Q38" s="394"/>
      <c r="R38" s="395"/>
      <c r="S38" s="121"/>
    </row>
    <row r="39" spans="1:23" ht="13.9" customHeight="1" thickBot="1" x14ac:dyDescent="0.4">
      <c r="A39" s="357"/>
      <c r="B39" s="358"/>
      <c r="C39" s="358"/>
      <c r="D39" s="358"/>
      <c r="E39" s="358"/>
      <c r="F39" s="358"/>
      <c r="G39" s="358"/>
      <c r="H39" s="358"/>
      <c r="I39" s="358"/>
      <c r="J39" s="358"/>
      <c r="K39" s="358"/>
      <c r="L39" s="358"/>
      <c r="M39" s="358"/>
      <c r="N39" s="358"/>
      <c r="O39" s="358"/>
      <c r="P39" s="359"/>
      <c r="Q39" s="396"/>
      <c r="R39" s="397"/>
      <c r="S39" s="121"/>
    </row>
    <row r="40" spans="1:23" ht="14.15" customHeight="1" x14ac:dyDescent="0.35">
      <c r="A40" s="385"/>
      <c r="B40" s="379"/>
      <c r="C40" s="379"/>
      <c r="D40" s="379"/>
      <c r="E40" s="379"/>
      <c r="F40" s="386"/>
      <c r="G40" s="379"/>
      <c r="H40" s="386"/>
      <c r="I40" s="379"/>
      <c r="J40" s="379"/>
      <c r="K40" s="392"/>
      <c r="L40" s="393"/>
      <c r="M40" s="379"/>
      <c r="N40" s="379"/>
      <c r="O40" s="392"/>
      <c r="P40" s="393"/>
      <c r="Q40" s="379"/>
      <c r="R40" s="380"/>
      <c r="S40" s="122"/>
    </row>
    <row r="41" spans="1:23" ht="14.15" customHeight="1" x14ac:dyDescent="0.35">
      <c r="A41" s="20" t="s">
        <v>21</v>
      </c>
      <c r="B41" s="21" t="s">
        <v>65</v>
      </c>
      <c r="C41" s="22"/>
      <c r="D41" s="23"/>
      <c r="E41" s="23"/>
      <c r="F41" s="141">
        <f>+F42</f>
        <v>20000</v>
      </c>
      <c r="G41" s="23"/>
      <c r="H41" s="23"/>
      <c r="I41" s="23"/>
      <c r="J41" s="41"/>
      <c r="K41" s="42"/>
      <c r="L41" s="24"/>
      <c r="M41" s="43"/>
      <c r="N41" s="41"/>
      <c r="O41" s="42"/>
      <c r="P41" s="144"/>
      <c r="Q41" s="43"/>
      <c r="R41" s="23"/>
      <c r="S41" s="124"/>
      <c r="U41" s="28"/>
      <c r="V41" s="28"/>
      <c r="W41" s="28"/>
    </row>
    <row r="42" spans="1:23" s="55" customFormat="1" hidden="1" x14ac:dyDescent="0.35">
      <c r="A42" s="103" t="s">
        <v>51</v>
      </c>
      <c r="B42" s="104" t="s">
        <v>83</v>
      </c>
      <c r="C42" s="103" t="s">
        <v>6</v>
      </c>
      <c r="D42" s="105">
        <v>1</v>
      </c>
      <c r="E42" s="105">
        <v>20000</v>
      </c>
      <c r="F42" s="106">
        <f>E42*D42</f>
        <v>20000</v>
      </c>
      <c r="G42" s="105">
        <v>45000</v>
      </c>
      <c r="H42" s="106">
        <f>G42*D42</f>
        <v>45000</v>
      </c>
      <c r="I42" s="105">
        <v>45000</v>
      </c>
      <c r="J42" s="107">
        <f>I42*D42</f>
        <v>45000</v>
      </c>
      <c r="K42" s="108">
        <v>45000</v>
      </c>
      <c r="L42" s="106">
        <f>K42*D42</f>
        <v>45000</v>
      </c>
      <c r="M42" s="109">
        <v>45000</v>
      </c>
      <c r="N42" s="107">
        <f>M42*D42</f>
        <v>45000</v>
      </c>
      <c r="O42" s="108">
        <v>20000</v>
      </c>
      <c r="P42" s="106"/>
      <c r="Q42" s="53">
        <f>(O42/E42)-1</f>
        <v>0</v>
      </c>
      <c r="R42" s="54">
        <f>(P42/F42)-1</f>
        <v>-1</v>
      </c>
      <c r="S42" s="123"/>
      <c r="T42" s="110" t="s">
        <v>84</v>
      </c>
      <c r="U42" s="56"/>
      <c r="V42" s="56"/>
      <c r="W42" s="56"/>
    </row>
    <row r="43" spans="1:23" ht="14.15" customHeight="1" x14ac:dyDescent="0.35">
      <c r="A43" s="59"/>
      <c r="B43" s="60"/>
      <c r="C43" s="61"/>
      <c r="D43" s="28"/>
      <c r="E43" s="28"/>
      <c r="F43" s="62"/>
      <c r="G43" s="28"/>
      <c r="H43" s="24"/>
      <c r="I43" s="28"/>
      <c r="J43" s="41"/>
      <c r="K43" s="65"/>
      <c r="L43" s="24"/>
      <c r="M43" s="28"/>
      <c r="N43" s="41"/>
      <c r="O43" s="65"/>
      <c r="P43" s="24"/>
      <c r="Q43" s="28"/>
      <c r="R43" s="23"/>
      <c r="S43" s="124"/>
      <c r="U43" s="28"/>
      <c r="V43" s="28"/>
      <c r="W43" s="28"/>
    </row>
    <row r="44" spans="1:23" ht="14.15" customHeight="1" x14ac:dyDescent="0.35">
      <c r="A44" s="20" t="s">
        <v>134</v>
      </c>
      <c r="B44" s="21" t="s">
        <v>37</v>
      </c>
      <c r="C44" s="22"/>
      <c r="D44" s="23"/>
      <c r="E44" s="23"/>
      <c r="F44" s="141">
        <f>+F45</f>
        <v>25000</v>
      </c>
      <c r="G44" s="23"/>
      <c r="H44" s="23"/>
      <c r="I44" s="23"/>
      <c r="J44" s="41"/>
      <c r="K44" s="42"/>
      <c r="L44" s="24"/>
      <c r="M44" s="43"/>
      <c r="N44" s="41"/>
      <c r="O44" s="42"/>
      <c r="P44" s="144"/>
      <c r="Q44" s="43"/>
      <c r="R44" s="23"/>
      <c r="S44" s="124"/>
      <c r="U44" s="28"/>
      <c r="V44" s="28"/>
      <c r="W44" s="28"/>
    </row>
    <row r="45" spans="1:23" s="139" customFormat="1" hidden="1" x14ac:dyDescent="0.35">
      <c r="A45" s="22" t="s">
        <v>137</v>
      </c>
      <c r="B45" s="58" t="s">
        <v>113</v>
      </c>
      <c r="C45" s="22" t="s">
        <v>6</v>
      </c>
      <c r="D45" s="23">
        <v>1</v>
      </c>
      <c r="E45" s="23">
        <v>25000</v>
      </c>
      <c r="F45" s="24">
        <f>E45*D45</f>
        <v>25000</v>
      </c>
      <c r="G45" s="23">
        <v>100000</v>
      </c>
      <c r="H45" s="24">
        <f>G45*D45</f>
        <v>100000</v>
      </c>
      <c r="I45" s="23">
        <v>100000</v>
      </c>
      <c r="J45" s="41">
        <f>I45*D45</f>
        <v>100000</v>
      </c>
      <c r="K45" s="42">
        <v>100000</v>
      </c>
      <c r="L45" s="24">
        <f>K45*D45</f>
        <v>100000</v>
      </c>
      <c r="M45" s="43">
        <v>100000</v>
      </c>
      <c r="N45" s="41">
        <f>M45*D45</f>
        <v>100000</v>
      </c>
      <c r="O45" s="42">
        <v>25000</v>
      </c>
      <c r="P45" s="24"/>
      <c r="Q45" s="53">
        <f>(O45/E45)-1</f>
        <v>0</v>
      </c>
      <c r="R45" s="54">
        <f>(P45/F45)-1</f>
        <v>-1</v>
      </c>
      <c r="S45" s="123"/>
      <c r="T45" s="18"/>
      <c r="U45" s="140"/>
      <c r="V45" s="140"/>
      <c r="W45" s="140"/>
    </row>
    <row r="46" spans="1:23" ht="14.15" customHeight="1" x14ac:dyDescent="0.35">
      <c r="A46" s="29"/>
      <c r="B46" s="69"/>
      <c r="C46" s="70"/>
      <c r="D46" s="71"/>
      <c r="E46" s="71"/>
      <c r="F46" s="72"/>
      <c r="G46" s="71"/>
      <c r="H46" s="24"/>
      <c r="I46" s="71"/>
      <c r="J46" s="41"/>
      <c r="K46" s="73"/>
      <c r="L46" s="24"/>
      <c r="M46" s="71"/>
      <c r="N46" s="41"/>
      <c r="O46" s="73"/>
      <c r="P46" s="24"/>
      <c r="Q46" s="71"/>
      <c r="R46" s="23"/>
      <c r="S46" s="124"/>
      <c r="U46" s="28"/>
      <c r="V46" s="28"/>
      <c r="W46" s="28"/>
    </row>
    <row r="47" spans="1:23" ht="14.15" customHeight="1" x14ac:dyDescent="0.35">
      <c r="A47" s="20" t="s">
        <v>30</v>
      </c>
      <c r="B47" s="21" t="s">
        <v>60</v>
      </c>
      <c r="C47" s="22"/>
      <c r="D47" s="23"/>
      <c r="E47" s="23"/>
      <c r="F47" s="141">
        <f>+SUM(F48:F49)</f>
        <v>370000</v>
      </c>
      <c r="G47" s="23"/>
      <c r="H47" s="23"/>
      <c r="I47" s="23"/>
      <c r="J47" s="41"/>
      <c r="K47" s="42"/>
      <c r="L47" s="24"/>
      <c r="M47" s="43"/>
      <c r="N47" s="41"/>
      <c r="O47" s="42"/>
      <c r="P47" s="144"/>
      <c r="Q47" s="89" t="e">
        <f t="shared" ref="Q47:R49" si="6">(O47/E47)-1</f>
        <v>#DIV/0!</v>
      </c>
      <c r="R47" s="90">
        <f t="shared" si="6"/>
        <v>-1</v>
      </c>
      <c r="S47" s="123"/>
      <c r="U47" s="28"/>
      <c r="V47" s="28"/>
      <c r="W47" s="28"/>
    </row>
    <row r="48" spans="1:23" ht="27" hidden="1" customHeight="1" x14ac:dyDescent="0.35">
      <c r="A48" s="22" t="s">
        <v>135</v>
      </c>
      <c r="B48" s="81" t="s">
        <v>127</v>
      </c>
      <c r="C48" s="22" t="s">
        <v>8</v>
      </c>
      <c r="D48" s="23">
        <v>17</v>
      </c>
      <c r="E48" s="23">
        <v>15000</v>
      </c>
      <c r="F48" s="24">
        <f>E48*D48</f>
        <v>255000</v>
      </c>
      <c r="G48" s="23">
        <v>6704</v>
      </c>
      <c r="H48" s="24">
        <f>G48*D48</f>
        <v>113968</v>
      </c>
      <c r="I48" s="23">
        <v>9524</v>
      </c>
      <c r="J48" s="41">
        <f>I48*D48</f>
        <v>161908</v>
      </c>
      <c r="K48" s="42">
        <v>12000</v>
      </c>
      <c r="L48" s="24">
        <f>K48*D48</f>
        <v>204000</v>
      </c>
      <c r="M48" s="43">
        <v>16000</v>
      </c>
      <c r="N48" s="41">
        <f>M48*D48</f>
        <v>272000</v>
      </c>
      <c r="O48" s="42">
        <v>11500</v>
      </c>
      <c r="P48" s="24"/>
      <c r="Q48" s="89">
        <f t="shared" si="6"/>
        <v>-0.23333333333333328</v>
      </c>
      <c r="R48" s="90">
        <f t="shared" si="6"/>
        <v>-1</v>
      </c>
      <c r="S48" s="123"/>
      <c r="U48" s="28"/>
      <c r="V48" s="28"/>
      <c r="W48" s="28"/>
    </row>
    <row r="49" spans="1:23" ht="14.15" hidden="1" customHeight="1" x14ac:dyDescent="0.35">
      <c r="A49" s="22" t="s">
        <v>136</v>
      </c>
      <c r="B49" s="46" t="s">
        <v>66</v>
      </c>
      <c r="C49" s="22" t="s">
        <v>10</v>
      </c>
      <c r="D49" s="23">
        <v>1</v>
      </c>
      <c r="E49" s="23">
        <v>115000</v>
      </c>
      <c r="F49" s="24">
        <f>E49*D49</f>
        <v>115000</v>
      </c>
      <c r="G49" s="23">
        <v>115000</v>
      </c>
      <c r="H49" s="24">
        <f>G49*D49</f>
        <v>115000</v>
      </c>
      <c r="I49" s="23">
        <v>115000</v>
      </c>
      <c r="J49" s="41">
        <f>I49*D49</f>
        <v>115000</v>
      </c>
      <c r="K49" s="42">
        <v>115000</v>
      </c>
      <c r="L49" s="24">
        <f>K49*D49</f>
        <v>115000</v>
      </c>
      <c r="M49" s="43">
        <v>115000</v>
      </c>
      <c r="N49" s="41">
        <f>M49*D49</f>
        <v>115000</v>
      </c>
      <c r="O49" s="42">
        <v>105000</v>
      </c>
      <c r="P49" s="24"/>
      <c r="Q49" s="89">
        <f t="shared" si="6"/>
        <v>-8.6956521739130488E-2</v>
      </c>
      <c r="R49" s="90">
        <f t="shared" si="6"/>
        <v>-1</v>
      </c>
      <c r="S49" s="123"/>
      <c r="U49" s="28"/>
      <c r="V49" s="28"/>
      <c r="W49" s="28"/>
    </row>
    <row r="50" spans="1:23" ht="14.15" customHeight="1" x14ac:dyDescent="0.35">
      <c r="A50" s="76"/>
      <c r="B50" s="30"/>
      <c r="C50" s="30"/>
      <c r="D50" s="30"/>
      <c r="E50" s="30"/>
      <c r="F50" s="31"/>
      <c r="G50" s="30"/>
      <c r="H50" s="24"/>
      <c r="I50" s="30"/>
      <c r="J50" s="41"/>
      <c r="K50" s="57"/>
      <c r="L50" s="24"/>
      <c r="M50" s="30"/>
      <c r="N50" s="41"/>
      <c r="O50" s="57"/>
      <c r="P50" s="24"/>
      <c r="Q50" s="30"/>
      <c r="R50" s="23"/>
      <c r="S50" s="124"/>
    </row>
    <row r="51" spans="1:23" ht="14.15" customHeight="1" x14ac:dyDescent="0.35">
      <c r="A51" s="20" t="s">
        <v>22</v>
      </c>
      <c r="B51" s="21" t="s">
        <v>67</v>
      </c>
      <c r="C51" s="22"/>
      <c r="D51" s="23"/>
      <c r="E51" s="23"/>
      <c r="F51" s="141">
        <f>+SUM(F52:F54)</f>
        <v>1275000</v>
      </c>
      <c r="G51" s="23"/>
      <c r="H51" s="23"/>
      <c r="I51" s="23"/>
      <c r="J51" s="41"/>
      <c r="K51" s="42"/>
      <c r="L51" s="24"/>
      <c r="M51" s="43"/>
      <c r="N51" s="41"/>
      <c r="O51" s="42"/>
      <c r="P51" s="144"/>
      <c r="Q51" s="43"/>
      <c r="R51" s="23"/>
      <c r="S51" s="124"/>
      <c r="U51" s="28"/>
      <c r="V51" s="28"/>
      <c r="W51" s="28"/>
    </row>
    <row r="52" spans="1:23" ht="14.15" hidden="1" customHeight="1" x14ac:dyDescent="0.35">
      <c r="A52" s="22" t="s">
        <v>32</v>
      </c>
      <c r="B52" s="77" t="s">
        <v>81</v>
      </c>
      <c r="C52" s="22" t="s">
        <v>8</v>
      </c>
      <c r="D52" s="75">
        <v>10</v>
      </c>
      <c r="E52" s="23">
        <v>13000</v>
      </c>
      <c r="F52" s="24">
        <f>E52*D52</f>
        <v>130000</v>
      </c>
      <c r="G52" s="32">
        <v>13000</v>
      </c>
      <c r="H52" s="49">
        <f>G52*D52</f>
        <v>130000</v>
      </c>
      <c r="I52" s="32">
        <v>13000</v>
      </c>
      <c r="J52" s="50">
        <f>I52*D52</f>
        <v>130000</v>
      </c>
      <c r="K52" s="42">
        <v>13000</v>
      </c>
      <c r="L52" s="24">
        <f>K52*D52</f>
        <v>130000</v>
      </c>
      <c r="M52" s="43">
        <v>13000</v>
      </c>
      <c r="N52" s="41">
        <f>M52*D52</f>
        <v>130000</v>
      </c>
      <c r="O52" s="42">
        <v>11500</v>
      </c>
      <c r="P52" s="24">
        <f>+O52*D52</f>
        <v>115000</v>
      </c>
      <c r="Q52" s="51">
        <f t="shared" ref="Q52:R54" si="7">(O52/E52)-1</f>
        <v>-0.11538461538461542</v>
      </c>
      <c r="R52" s="52">
        <f t="shared" si="7"/>
        <v>-0.11538461538461542</v>
      </c>
      <c r="S52" s="123"/>
      <c r="U52" s="74"/>
      <c r="V52" s="28"/>
      <c r="W52" s="28"/>
    </row>
    <row r="53" spans="1:23" ht="14.15" hidden="1" customHeight="1" x14ac:dyDescent="0.35">
      <c r="A53" s="22" t="s">
        <v>38</v>
      </c>
      <c r="B53" s="46" t="s">
        <v>68</v>
      </c>
      <c r="C53" s="22" t="s">
        <v>10</v>
      </c>
      <c r="D53" s="23">
        <v>3</v>
      </c>
      <c r="E53" s="23">
        <v>115000</v>
      </c>
      <c r="F53" s="24">
        <f>E53*D53</f>
        <v>345000</v>
      </c>
      <c r="G53" s="23">
        <v>115000</v>
      </c>
      <c r="H53" s="24">
        <f>G53*D53</f>
        <v>345000</v>
      </c>
      <c r="I53" s="23">
        <v>115000</v>
      </c>
      <c r="J53" s="41">
        <f>I53*D53</f>
        <v>345000</v>
      </c>
      <c r="K53" s="42">
        <v>115000</v>
      </c>
      <c r="L53" s="24">
        <f>K53*D53</f>
        <v>345000</v>
      </c>
      <c r="M53" s="43">
        <v>115000</v>
      </c>
      <c r="N53" s="41">
        <f>M53*D53</f>
        <v>345000</v>
      </c>
      <c r="O53" s="42">
        <v>105000</v>
      </c>
      <c r="P53" s="24">
        <f>+O53*D53</f>
        <v>315000</v>
      </c>
      <c r="Q53" s="89">
        <f t="shared" si="7"/>
        <v>-8.6956521739130488E-2</v>
      </c>
      <c r="R53" s="90">
        <f t="shared" si="7"/>
        <v>-8.6956521739130488E-2</v>
      </c>
      <c r="S53" s="123"/>
      <c r="U53" s="28"/>
      <c r="V53" s="28"/>
      <c r="W53" s="28"/>
    </row>
    <row r="54" spans="1:23" ht="14.15" hidden="1" customHeight="1" x14ac:dyDescent="0.35">
      <c r="A54" s="22" t="s">
        <v>38</v>
      </c>
      <c r="B54" s="46" t="s">
        <v>69</v>
      </c>
      <c r="C54" s="22" t="s">
        <v>10</v>
      </c>
      <c r="D54" s="75">
        <v>1</v>
      </c>
      <c r="E54" s="23">
        <v>800000</v>
      </c>
      <c r="F54" s="24">
        <f>E54*D54</f>
        <v>800000</v>
      </c>
      <c r="G54" s="32">
        <v>800000</v>
      </c>
      <c r="H54" s="49">
        <f>G54*D54</f>
        <v>800000</v>
      </c>
      <c r="I54" s="32">
        <v>800000</v>
      </c>
      <c r="J54" s="50">
        <f>I54*D54</f>
        <v>800000</v>
      </c>
      <c r="K54" s="42">
        <v>800000</v>
      </c>
      <c r="L54" s="24">
        <f>K54*D54</f>
        <v>800000</v>
      </c>
      <c r="M54" s="43">
        <v>800000</v>
      </c>
      <c r="N54" s="41">
        <f>M54*D54</f>
        <v>800000</v>
      </c>
      <c r="O54" s="42">
        <v>800000</v>
      </c>
      <c r="P54" s="24">
        <f>AVERAGE(H54,J54,L54,N54)</f>
        <v>800000</v>
      </c>
      <c r="Q54" s="51">
        <f t="shared" si="7"/>
        <v>0</v>
      </c>
      <c r="R54" s="52">
        <f t="shared" si="7"/>
        <v>0</v>
      </c>
      <c r="S54" s="123"/>
      <c r="U54" s="74"/>
      <c r="V54" s="28"/>
      <c r="W54" s="28"/>
    </row>
    <row r="55" spans="1:23" ht="14.15" customHeight="1" thickBot="1" x14ac:dyDescent="0.4">
      <c r="A55" s="76"/>
      <c r="B55" s="30"/>
      <c r="C55" s="30"/>
      <c r="D55" s="30"/>
      <c r="E55" s="30"/>
      <c r="F55" s="31"/>
      <c r="G55" s="30"/>
      <c r="H55" s="31"/>
      <c r="I55" s="30"/>
      <c r="J55" s="30"/>
      <c r="K55" s="78"/>
      <c r="L55" s="36"/>
      <c r="M55" s="30"/>
      <c r="N55" s="30"/>
      <c r="O55" s="78"/>
      <c r="P55" s="36"/>
      <c r="Q55" s="30"/>
      <c r="R55" s="79"/>
      <c r="S55" s="122"/>
    </row>
    <row r="56" spans="1:23" ht="14.15" customHeight="1" thickBot="1" x14ac:dyDescent="0.4">
      <c r="A56" s="374" t="s">
        <v>14</v>
      </c>
      <c r="B56" s="375"/>
      <c r="C56" s="375"/>
      <c r="D56" s="375"/>
      <c r="E56" s="376"/>
      <c r="F56" s="37">
        <f>SUM(F42,F45,F48:F49,F52:F54)</f>
        <v>1690000</v>
      </c>
      <c r="G56" s="80"/>
      <c r="H56" s="37">
        <f>SUM(H42:H54)</f>
        <v>1648968</v>
      </c>
      <c r="I56" s="80"/>
      <c r="J56" s="37">
        <f>SUM(J42:J54)</f>
        <v>1696908</v>
      </c>
      <c r="K56" s="80"/>
      <c r="L56" s="37">
        <f>SUM(L42:L54)</f>
        <v>1739000</v>
      </c>
      <c r="M56" s="80"/>
      <c r="N56" s="37">
        <f>SUM(N42:N54)</f>
        <v>1807000</v>
      </c>
      <c r="O56" s="68"/>
      <c r="P56" s="37"/>
      <c r="Q56" s="38"/>
      <c r="R56" s="40">
        <f>(P56/F56)-1</f>
        <v>-1</v>
      </c>
      <c r="S56" s="123"/>
    </row>
    <row r="57" spans="1:23" ht="14.15" customHeight="1" thickBot="1" x14ac:dyDescent="0.4">
      <c r="A57" s="387"/>
      <c r="B57" s="370"/>
      <c r="C57" s="370"/>
      <c r="D57" s="370"/>
      <c r="E57" s="370"/>
      <c r="F57" s="373"/>
      <c r="G57" s="370"/>
      <c r="H57" s="373"/>
      <c r="I57" s="370"/>
      <c r="J57" s="373"/>
      <c r="K57" s="370"/>
      <c r="L57" s="373"/>
      <c r="M57" s="370"/>
      <c r="N57" s="373"/>
      <c r="O57" s="370"/>
      <c r="P57" s="371"/>
      <c r="Q57" s="370"/>
      <c r="R57" s="371"/>
      <c r="S57" s="122"/>
    </row>
    <row r="58" spans="1:23" ht="13.9" customHeight="1" x14ac:dyDescent="0.35">
      <c r="A58" s="360" t="s">
        <v>50</v>
      </c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5"/>
      <c r="N58" s="355"/>
      <c r="O58" s="355"/>
      <c r="P58" s="361"/>
      <c r="Q58" s="394"/>
      <c r="R58" s="395"/>
      <c r="S58" s="121"/>
    </row>
    <row r="59" spans="1:23" ht="13.9" customHeight="1" thickBot="1" x14ac:dyDescent="0.4">
      <c r="A59" s="362"/>
      <c r="B59" s="358"/>
      <c r="C59" s="358"/>
      <c r="D59" s="358"/>
      <c r="E59" s="358"/>
      <c r="F59" s="358"/>
      <c r="G59" s="358"/>
      <c r="H59" s="358"/>
      <c r="I59" s="358"/>
      <c r="J59" s="358"/>
      <c r="K59" s="358"/>
      <c r="L59" s="358"/>
      <c r="M59" s="358"/>
      <c r="N59" s="358"/>
      <c r="O59" s="358"/>
      <c r="P59" s="363"/>
      <c r="Q59" s="396"/>
      <c r="R59" s="397"/>
      <c r="S59" s="121"/>
    </row>
    <row r="60" spans="1:23" ht="14.15" customHeight="1" x14ac:dyDescent="0.35">
      <c r="A60" s="385"/>
      <c r="B60" s="379"/>
      <c r="C60" s="379"/>
      <c r="D60" s="379"/>
      <c r="E60" s="379"/>
      <c r="F60" s="386"/>
      <c r="G60" s="379"/>
      <c r="H60" s="386"/>
      <c r="I60" s="379"/>
      <c r="J60" s="379"/>
      <c r="K60" s="392"/>
      <c r="L60" s="393"/>
      <c r="M60" s="379"/>
      <c r="N60" s="379"/>
      <c r="O60" s="392"/>
      <c r="P60" s="393"/>
      <c r="Q60" s="379"/>
      <c r="R60" s="380"/>
      <c r="S60" s="122"/>
      <c r="U60" s="28"/>
      <c r="V60" s="28"/>
      <c r="W60" s="28"/>
    </row>
    <row r="61" spans="1:23" ht="14.15" customHeight="1" x14ac:dyDescent="0.35">
      <c r="A61" s="20" t="s">
        <v>23</v>
      </c>
      <c r="B61" s="21" t="s">
        <v>88</v>
      </c>
      <c r="C61" s="22"/>
      <c r="D61" s="23"/>
      <c r="E61" s="23"/>
      <c r="F61" s="141">
        <f>+SUM(F62:F68)</f>
        <v>10654000</v>
      </c>
      <c r="G61" s="23"/>
      <c r="H61" s="23"/>
      <c r="I61" s="23"/>
      <c r="J61" s="41"/>
      <c r="K61" s="42"/>
      <c r="L61" s="24"/>
      <c r="M61" s="43"/>
      <c r="N61" s="41"/>
      <c r="O61" s="42"/>
      <c r="P61" s="144"/>
      <c r="Q61" s="44" t="e">
        <f>(O61/E61)-1</f>
        <v>#DIV/0!</v>
      </c>
      <c r="R61" s="45">
        <f t="shared" ref="Q61:R68" si="8">(P61/F61)-1</f>
        <v>-1</v>
      </c>
      <c r="S61" s="123"/>
      <c r="U61" s="28"/>
      <c r="V61" s="28"/>
      <c r="W61" s="28"/>
    </row>
    <row r="62" spans="1:23" ht="29" hidden="1" x14ac:dyDescent="0.35">
      <c r="A62" s="22" t="s">
        <v>33</v>
      </c>
      <c r="B62" s="81" t="s">
        <v>89</v>
      </c>
      <c r="C62" s="22" t="s">
        <v>6</v>
      </c>
      <c r="D62" s="23">
        <v>1</v>
      </c>
      <c r="E62" s="23">
        <v>6500000</v>
      </c>
      <c r="F62" s="24">
        <f t="shared" ref="F62:F65" si="9">E62*D62</f>
        <v>6500000</v>
      </c>
      <c r="G62" s="388">
        <v>12189000</v>
      </c>
      <c r="H62" s="390">
        <v>12189000</v>
      </c>
      <c r="I62" s="82">
        <v>4523810</v>
      </c>
      <c r="J62" s="83">
        <f>I62*D62</f>
        <v>4523810</v>
      </c>
      <c r="K62" s="84">
        <f>204.8*2800000/70</f>
        <v>8192000</v>
      </c>
      <c r="L62" s="85">
        <f>K62*D62</f>
        <v>8192000</v>
      </c>
      <c r="M62" s="86">
        <f>L62*E62</f>
        <v>53248000000000</v>
      </c>
      <c r="N62" s="87">
        <f>M62*F62</f>
        <v>3.46112E+20</v>
      </c>
      <c r="O62" s="42" t="e">
        <f>+(#REF!+#REF!)*#REF!</f>
        <v>#REF!</v>
      </c>
      <c r="P62" s="24"/>
      <c r="Q62" s="48" t="e">
        <f>(O62/E62)-1</f>
        <v>#REF!</v>
      </c>
      <c r="R62" s="27">
        <f t="shared" si="8"/>
        <v>-1</v>
      </c>
      <c r="S62" s="123"/>
      <c r="T62" s="117" t="s">
        <v>90</v>
      </c>
      <c r="U62" s="74"/>
      <c r="V62" s="28"/>
      <c r="W62" s="28"/>
    </row>
    <row r="63" spans="1:23" ht="27.75" hidden="1" customHeight="1" x14ac:dyDescent="0.35">
      <c r="A63" s="22" t="s">
        <v>39</v>
      </c>
      <c r="B63" s="81" t="s">
        <v>101</v>
      </c>
      <c r="C63" s="22" t="s">
        <v>7</v>
      </c>
      <c r="D63" s="75">
        <v>220</v>
      </c>
      <c r="E63" s="23">
        <v>9000</v>
      </c>
      <c r="F63" s="24">
        <f t="shared" si="9"/>
        <v>1980000</v>
      </c>
      <c r="G63" s="389"/>
      <c r="H63" s="391"/>
      <c r="I63" s="82">
        <v>40476</v>
      </c>
      <c r="J63" s="83">
        <f>I63*D63</f>
        <v>8904720</v>
      </c>
      <c r="K63" s="84">
        <v>23000</v>
      </c>
      <c r="L63" s="85">
        <f>K63*D63</f>
        <v>5060000</v>
      </c>
      <c r="M63" s="43">
        <v>9000</v>
      </c>
      <c r="N63" s="87">
        <f>M63*D63</f>
        <v>1980000</v>
      </c>
      <c r="O63" s="42">
        <v>10000</v>
      </c>
      <c r="P63" s="24"/>
      <c r="Q63" s="48">
        <f>(O63/E63)-1</f>
        <v>0.11111111111111116</v>
      </c>
      <c r="R63" s="27">
        <f t="shared" si="8"/>
        <v>-1</v>
      </c>
      <c r="S63" s="123"/>
      <c r="T63" s="123"/>
      <c r="U63" s="28"/>
      <c r="V63" s="28"/>
      <c r="W63" s="28"/>
    </row>
    <row r="64" spans="1:23" ht="14.15" hidden="1" customHeight="1" x14ac:dyDescent="0.35">
      <c r="A64" s="22" t="s">
        <v>40</v>
      </c>
      <c r="B64" s="46" t="s">
        <v>96</v>
      </c>
      <c r="C64" s="22" t="s">
        <v>7</v>
      </c>
      <c r="D64" s="23">
        <v>186</v>
      </c>
      <c r="E64" s="23">
        <v>9000</v>
      </c>
      <c r="F64" s="24">
        <f t="shared" si="9"/>
        <v>1674000</v>
      </c>
      <c r="G64" s="389"/>
      <c r="H64" s="391"/>
      <c r="I64" s="88">
        <v>40476</v>
      </c>
      <c r="J64" s="87">
        <f>I64*D64</f>
        <v>7528536</v>
      </c>
      <c r="K64" s="84">
        <v>11000</v>
      </c>
      <c r="L64" s="85">
        <f>K64*D64</f>
        <v>2046000</v>
      </c>
      <c r="M64" s="43">
        <v>9000</v>
      </c>
      <c r="N64" s="87">
        <f>M64*D64</f>
        <v>1674000</v>
      </c>
      <c r="O64" s="42">
        <v>7000</v>
      </c>
      <c r="P64" s="24"/>
      <c r="Q64" s="89">
        <f t="shared" si="8"/>
        <v>-0.22222222222222221</v>
      </c>
      <c r="R64" s="90">
        <f t="shared" si="8"/>
        <v>-1</v>
      </c>
      <c r="S64" s="123"/>
      <c r="T64" s="123"/>
      <c r="U64" s="28"/>
      <c r="V64" s="28"/>
      <c r="W64" s="28"/>
    </row>
    <row r="65" spans="1:23" ht="42.75" hidden="1" customHeight="1" x14ac:dyDescent="0.35">
      <c r="A65" s="22" t="s">
        <v>43</v>
      </c>
      <c r="B65" s="81" t="s">
        <v>56</v>
      </c>
      <c r="C65" s="22" t="s">
        <v>6</v>
      </c>
      <c r="D65" s="23">
        <v>1</v>
      </c>
      <c r="E65" s="23">
        <v>500000</v>
      </c>
      <c r="F65" s="24">
        <f t="shared" si="9"/>
        <v>500000</v>
      </c>
      <c r="G65" s="25">
        <v>2681580</v>
      </c>
      <c r="H65" s="26">
        <f>G65*D65</f>
        <v>2681580</v>
      </c>
      <c r="I65" s="25">
        <v>1011905</v>
      </c>
      <c r="J65" s="47">
        <f>I65*D65</f>
        <v>1011905</v>
      </c>
      <c r="K65" s="42">
        <v>260000</v>
      </c>
      <c r="L65" s="85">
        <f>K65*D65</f>
        <v>260000</v>
      </c>
      <c r="M65" s="43">
        <v>150000</v>
      </c>
      <c r="N65" s="87">
        <f>M65*D65</f>
        <v>150000</v>
      </c>
      <c r="O65" s="42">
        <v>180000</v>
      </c>
      <c r="P65" s="24"/>
      <c r="Q65" s="48">
        <f t="shared" si="8"/>
        <v>-0.64</v>
      </c>
      <c r="R65" s="27">
        <f t="shared" si="8"/>
        <v>-1</v>
      </c>
      <c r="S65" s="123"/>
      <c r="U65" s="28"/>
      <c r="V65" s="28"/>
      <c r="W65" s="28"/>
    </row>
    <row r="66" spans="1:23" ht="15" hidden="1" customHeight="1" x14ac:dyDescent="0.35">
      <c r="A66" s="22" t="s">
        <v>97</v>
      </c>
      <c r="B66" s="81" t="s">
        <v>77</v>
      </c>
      <c r="C66" s="22" t="s">
        <v>7</v>
      </c>
      <c r="D66" s="91">
        <f>8.5+21+14</f>
        <v>43.5</v>
      </c>
      <c r="E66" s="23"/>
      <c r="F66" s="24"/>
      <c r="G66" s="23"/>
      <c r="H66" s="24"/>
      <c r="I66" s="23"/>
      <c r="J66" s="41"/>
      <c r="K66" s="42"/>
      <c r="L66" s="85"/>
      <c r="M66" s="43"/>
      <c r="N66" s="87"/>
      <c r="O66" s="42">
        <v>2500</v>
      </c>
      <c r="P66" s="24"/>
      <c r="Q66" s="89"/>
      <c r="R66" s="90"/>
      <c r="S66" s="123"/>
      <c r="U66" s="28"/>
      <c r="V66" s="28"/>
      <c r="W66" s="28"/>
    </row>
    <row r="67" spans="1:23" hidden="1" x14ac:dyDescent="0.35">
      <c r="A67" s="22" t="s">
        <v>98</v>
      </c>
      <c r="B67" s="81" t="s">
        <v>80</v>
      </c>
      <c r="C67" s="22" t="s">
        <v>2</v>
      </c>
      <c r="D67" s="23">
        <v>1</v>
      </c>
      <c r="E67" s="23"/>
      <c r="F67" s="24"/>
      <c r="G67" s="23">
        <v>485000</v>
      </c>
      <c r="H67" s="24">
        <f>G67*D67</f>
        <v>485000</v>
      </c>
      <c r="I67" s="23">
        <v>485000</v>
      </c>
      <c r="J67" s="41">
        <f>I67*D67</f>
        <v>485000</v>
      </c>
      <c r="K67" s="42">
        <v>485000</v>
      </c>
      <c r="L67" s="24">
        <f>K67*D67</f>
        <v>485000</v>
      </c>
      <c r="M67" s="43">
        <v>485000</v>
      </c>
      <c r="N67" s="41">
        <f>M67*D67</f>
        <v>485000</v>
      </c>
      <c r="O67" s="42">
        <v>325000</v>
      </c>
      <c r="P67" s="24"/>
      <c r="Q67" s="89" t="e">
        <f t="shared" ref="Q67:R67" si="10">(O67/E67)-1</f>
        <v>#DIV/0!</v>
      </c>
      <c r="R67" s="90" t="e">
        <f t="shared" si="10"/>
        <v>#DIV/0!</v>
      </c>
      <c r="S67" s="123"/>
      <c r="U67" s="28"/>
      <c r="V67" s="28"/>
      <c r="W67" s="28"/>
    </row>
    <row r="68" spans="1:23" hidden="1" x14ac:dyDescent="0.35">
      <c r="A68" s="22" t="s">
        <v>99</v>
      </c>
      <c r="B68" s="81" t="s">
        <v>100</v>
      </c>
      <c r="C68" s="22" t="s">
        <v>8</v>
      </c>
      <c r="D68" s="23">
        <v>16</v>
      </c>
      <c r="E68" s="23"/>
      <c r="F68" s="24"/>
      <c r="G68" s="23">
        <v>485000</v>
      </c>
      <c r="H68" s="24">
        <f>G68*D68</f>
        <v>7760000</v>
      </c>
      <c r="I68" s="23">
        <v>485000</v>
      </c>
      <c r="J68" s="41">
        <f>I68*D68</f>
        <v>7760000</v>
      </c>
      <c r="K68" s="42">
        <v>485000</v>
      </c>
      <c r="L68" s="24">
        <f>K68*D68</f>
        <v>7760000</v>
      </c>
      <c r="M68" s="43">
        <v>485000</v>
      </c>
      <c r="N68" s="41">
        <f>M68*D68</f>
        <v>7760000</v>
      </c>
      <c r="O68" s="42">
        <v>5000</v>
      </c>
      <c r="P68" s="24"/>
      <c r="Q68" s="89" t="e">
        <f t="shared" si="8"/>
        <v>#DIV/0!</v>
      </c>
      <c r="R68" s="90" t="e">
        <f t="shared" si="8"/>
        <v>#DIV/0!</v>
      </c>
      <c r="S68" s="123"/>
      <c r="U68" s="28"/>
      <c r="V68" s="28"/>
      <c r="W68" s="28"/>
    </row>
    <row r="69" spans="1:23" ht="14.15" customHeight="1" x14ac:dyDescent="0.35">
      <c r="A69" s="29"/>
      <c r="B69" s="69"/>
      <c r="C69" s="70"/>
      <c r="D69" s="71"/>
      <c r="E69" s="71"/>
      <c r="F69" s="72"/>
      <c r="G69" s="71"/>
      <c r="H69" s="24"/>
      <c r="I69" s="71"/>
      <c r="J69" s="41"/>
      <c r="K69" s="73"/>
      <c r="L69" s="85"/>
      <c r="M69" s="71"/>
      <c r="N69" s="87"/>
      <c r="O69" s="73"/>
      <c r="P69" s="85"/>
      <c r="Q69" s="71"/>
      <c r="R69" s="88"/>
      <c r="S69" s="122"/>
      <c r="U69" s="28"/>
      <c r="V69" s="28"/>
      <c r="W69" s="28"/>
    </row>
    <row r="70" spans="1:23" ht="14.15" customHeight="1" x14ac:dyDescent="0.35">
      <c r="A70" s="20" t="s">
        <v>24</v>
      </c>
      <c r="B70" s="21" t="s">
        <v>70</v>
      </c>
      <c r="C70" s="22"/>
      <c r="D70" s="23"/>
      <c r="E70" s="23"/>
      <c r="F70" s="141">
        <f>+SUM(F71:F78)</f>
        <v>1925510</v>
      </c>
      <c r="G70" s="23"/>
      <c r="H70" s="23"/>
      <c r="I70" s="23"/>
      <c r="J70" s="41"/>
      <c r="K70" s="42"/>
      <c r="L70" s="24"/>
      <c r="M70" s="43"/>
      <c r="N70" s="41"/>
      <c r="O70" s="42"/>
      <c r="P70" s="144"/>
      <c r="Q70" s="44" t="e">
        <f t="shared" ref="Q70:R78" si="11">(O70/E70)-1</f>
        <v>#DIV/0!</v>
      </c>
      <c r="R70" s="45">
        <f t="shared" si="11"/>
        <v>-1</v>
      </c>
      <c r="S70" s="123"/>
      <c r="U70" s="28"/>
      <c r="V70" s="28"/>
      <c r="W70" s="28"/>
    </row>
    <row r="71" spans="1:23" ht="29" hidden="1" x14ac:dyDescent="0.35">
      <c r="A71" s="22" t="s">
        <v>111</v>
      </c>
      <c r="B71" s="81" t="s">
        <v>130</v>
      </c>
      <c r="C71" s="22" t="s">
        <v>2</v>
      </c>
      <c r="D71" s="23">
        <v>2</v>
      </c>
      <c r="E71" s="23">
        <v>450000</v>
      </c>
      <c r="F71" s="24">
        <f t="shared" ref="F71:F76" si="12">E71*D71</f>
        <v>900000</v>
      </c>
      <c r="G71" s="23">
        <v>5000000</v>
      </c>
      <c r="H71" s="24">
        <f>G71*D71</f>
        <v>10000000</v>
      </c>
      <c r="I71" s="88">
        <v>4523810</v>
      </c>
      <c r="J71" s="41">
        <f>I71*D71</f>
        <v>9047620</v>
      </c>
      <c r="K71" s="84">
        <v>2800000</v>
      </c>
      <c r="L71" s="85">
        <f>K71*D71</f>
        <v>5600000</v>
      </c>
      <c r="M71" s="43">
        <v>5000000</v>
      </c>
      <c r="N71" s="87">
        <f>M71*D71</f>
        <v>10000000</v>
      </c>
      <c r="O71" s="42">
        <f>+E71</f>
        <v>450000</v>
      </c>
      <c r="P71" s="24"/>
      <c r="Q71" s="89">
        <f t="shared" si="11"/>
        <v>0</v>
      </c>
      <c r="R71" s="90">
        <f t="shared" si="11"/>
        <v>-1</v>
      </c>
      <c r="S71" s="123">
        <f t="shared" ref="S71:S78" si="13">+P71</f>
        <v>0</v>
      </c>
      <c r="T71" s="18"/>
      <c r="U71" s="28"/>
      <c r="V71" s="28"/>
      <c r="W71" s="28"/>
    </row>
    <row r="72" spans="1:23" ht="31.5" hidden="1" customHeight="1" x14ac:dyDescent="0.35">
      <c r="A72" s="22" t="s">
        <v>41</v>
      </c>
      <c r="B72" s="81" t="s">
        <v>76</v>
      </c>
      <c r="C72" s="22" t="s">
        <v>7</v>
      </c>
      <c r="D72" s="91">
        <v>58.39</v>
      </c>
      <c r="E72" s="23">
        <v>9000</v>
      </c>
      <c r="F72" s="24">
        <f t="shared" si="12"/>
        <v>525510</v>
      </c>
      <c r="G72" s="23">
        <v>9000</v>
      </c>
      <c r="H72" s="24">
        <f t="shared" ref="H72:H76" si="14">G72*D72</f>
        <v>525510</v>
      </c>
      <c r="I72" s="88">
        <v>40476</v>
      </c>
      <c r="J72" s="41">
        <f>I72*D72</f>
        <v>2363393.64</v>
      </c>
      <c r="K72" s="84">
        <v>23000</v>
      </c>
      <c r="L72" s="85">
        <f>K72*D72</f>
        <v>1342970</v>
      </c>
      <c r="M72" s="43">
        <v>9000</v>
      </c>
      <c r="N72" s="87">
        <f t="shared" ref="N72:N76" si="15">M72*D72</f>
        <v>525510</v>
      </c>
      <c r="O72" s="42">
        <v>6500</v>
      </c>
      <c r="P72" s="24"/>
      <c r="Q72" s="89">
        <f t="shared" si="11"/>
        <v>-0.27777777777777779</v>
      </c>
      <c r="R72" s="90">
        <f t="shared" si="11"/>
        <v>-1</v>
      </c>
      <c r="S72" s="123">
        <f t="shared" si="13"/>
        <v>0</v>
      </c>
      <c r="U72" s="28"/>
      <c r="V72" s="28"/>
      <c r="W72" s="28"/>
    </row>
    <row r="73" spans="1:23" ht="26.25" hidden="1" customHeight="1" x14ac:dyDescent="0.35">
      <c r="A73" s="22" t="s">
        <v>42</v>
      </c>
      <c r="B73" s="81" t="s">
        <v>129</v>
      </c>
      <c r="C73" s="22" t="s">
        <v>2</v>
      </c>
      <c r="D73" s="23">
        <v>1</v>
      </c>
      <c r="E73" s="23">
        <v>400000</v>
      </c>
      <c r="F73" s="24">
        <f t="shared" si="12"/>
        <v>400000</v>
      </c>
      <c r="G73" s="23">
        <v>9000</v>
      </c>
      <c r="H73" s="24">
        <f t="shared" si="14"/>
        <v>9000</v>
      </c>
      <c r="I73" s="88">
        <v>40476</v>
      </c>
      <c r="J73" s="41">
        <f>I73*D73</f>
        <v>40476</v>
      </c>
      <c r="K73" s="84">
        <v>11000</v>
      </c>
      <c r="L73" s="85">
        <f>K73*D73</f>
        <v>11000</v>
      </c>
      <c r="M73" s="43">
        <v>9000</v>
      </c>
      <c r="N73" s="87">
        <f t="shared" si="15"/>
        <v>9000</v>
      </c>
      <c r="O73" s="42">
        <f>+E73</f>
        <v>400000</v>
      </c>
      <c r="P73" s="24"/>
      <c r="Q73" s="89">
        <f t="shared" si="11"/>
        <v>0</v>
      </c>
      <c r="R73" s="90">
        <f t="shared" si="11"/>
        <v>-1</v>
      </c>
      <c r="S73" s="123">
        <f t="shared" si="13"/>
        <v>0</v>
      </c>
      <c r="U73" s="28"/>
      <c r="V73" s="28"/>
      <c r="W73" s="28"/>
    </row>
    <row r="74" spans="1:23" ht="29" hidden="1" x14ac:dyDescent="0.35">
      <c r="A74" s="22" t="s">
        <v>112</v>
      </c>
      <c r="B74" s="81" t="s">
        <v>128</v>
      </c>
      <c r="C74" s="22" t="s">
        <v>2</v>
      </c>
      <c r="D74" s="23">
        <v>1</v>
      </c>
      <c r="E74" s="23"/>
      <c r="F74" s="24"/>
      <c r="G74" s="23"/>
      <c r="H74" s="24"/>
      <c r="I74" s="88"/>
      <c r="J74" s="41"/>
      <c r="K74" s="84"/>
      <c r="L74" s="85"/>
      <c r="M74" s="43"/>
      <c r="N74" s="87"/>
      <c r="O74" s="42">
        <v>150000</v>
      </c>
      <c r="P74" s="24"/>
      <c r="Q74" s="89"/>
      <c r="R74" s="90"/>
      <c r="S74" s="123">
        <f t="shared" si="13"/>
        <v>0</v>
      </c>
      <c r="U74" s="28"/>
      <c r="V74" s="28"/>
      <c r="W74" s="28"/>
    </row>
    <row r="75" spans="1:23" ht="15" hidden="1" customHeight="1" x14ac:dyDescent="0.35">
      <c r="A75" s="22" t="s">
        <v>44</v>
      </c>
      <c r="B75" s="81" t="s">
        <v>77</v>
      </c>
      <c r="C75" s="22" t="s">
        <v>7</v>
      </c>
      <c r="D75" s="91">
        <f>26*2-8</f>
        <v>44</v>
      </c>
      <c r="E75" s="23"/>
      <c r="F75" s="24"/>
      <c r="G75" s="23"/>
      <c r="H75" s="24"/>
      <c r="I75" s="88"/>
      <c r="J75" s="41"/>
      <c r="K75" s="84"/>
      <c r="L75" s="85"/>
      <c r="M75" s="43"/>
      <c r="N75" s="87"/>
      <c r="O75" s="42">
        <f>+O66</f>
        <v>2500</v>
      </c>
      <c r="P75" s="24"/>
      <c r="Q75" s="89"/>
      <c r="R75" s="90"/>
      <c r="S75" s="123">
        <f t="shared" si="13"/>
        <v>0</v>
      </c>
      <c r="U75" s="28"/>
      <c r="V75" s="28"/>
      <c r="W75" s="28"/>
    </row>
    <row r="76" spans="1:23" hidden="1" x14ac:dyDescent="0.35">
      <c r="A76" s="22" t="s">
        <v>45</v>
      </c>
      <c r="B76" s="81" t="s">
        <v>71</v>
      </c>
      <c r="C76" s="22" t="s">
        <v>6</v>
      </c>
      <c r="D76" s="23">
        <v>1</v>
      </c>
      <c r="E76" s="23">
        <v>100000</v>
      </c>
      <c r="F76" s="24">
        <f t="shared" si="12"/>
        <v>100000</v>
      </c>
      <c r="G76" s="32">
        <v>100000</v>
      </c>
      <c r="H76" s="49">
        <f t="shared" si="14"/>
        <v>100000</v>
      </c>
      <c r="I76" s="32">
        <v>100000</v>
      </c>
      <c r="J76" s="50">
        <f>I76*D76</f>
        <v>100000</v>
      </c>
      <c r="K76" s="42">
        <v>100000</v>
      </c>
      <c r="L76" s="24">
        <f>K76*D76</f>
        <v>100000</v>
      </c>
      <c r="M76" s="43">
        <v>100000</v>
      </c>
      <c r="N76" s="87">
        <f t="shared" si="15"/>
        <v>100000</v>
      </c>
      <c r="O76" s="42">
        <v>50000</v>
      </c>
      <c r="P76" s="24"/>
      <c r="Q76" s="51">
        <f t="shared" si="11"/>
        <v>-0.5</v>
      </c>
      <c r="R76" s="52">
        <f t="shared" si="11"/>
        <v>-1</v>
      </c>
      <c r="S76" s="123">
        <f t="shared" si="13"/>
        <v>0</v>
      </c>
      <c r="U76" s="28"/>
      <c r="V76" s="28"/>
      <c r="W76" s="28"/>
    </row>
    <row r="77" spans="1:23" hidden="1" x14ac:dyDescent="0.35">
      <c r="A77" s="22" t="s">
        <v>62</v>
      </c>
      <c r="B77" s="81" t="s">
        <v>80</v>
      </c>
      <c r="C77" s="22" t="s">
        <v>2</v>
      </c>
      <c r="D77" s="23">
        <v>1</v>
      </c>
      <c r="E77" s="23" t="s">
        <v>78</v>
      </c>
      <c r="F77" s="24"/>
      <c r="G77" s="23">
        <v>485000</v>
      </c>
      <c r="H77" s="24">
        <f>G77*D77</f>
        <v>485000</v>
      </c>
      <c r="I77" s="23">
        <v>485000</v>
      </c>
      <c r="J77" s="41">
        <f>I77*D77</f>
        <v>485000</v>
      </c>
      <c r="K77" s="42">
        <v>485000</v>
      </c>
      <c r="L77" s="24">
        <f>K77*D77</f>
        <v>485000</v>
      </c>
      <c r="M77" s="43">
        <v>485000</v>
      </c>
      <c r="N77" s="41">
        <f>M77*D77</f>
        <v>485000</v>
      </c>
      <c r="O77" s="42">
        <f>+O67</f>
        <v>325000</v>
      </c>
      <c r="P77" s="24"/>
      <c r="Q77" s="89" t="e">
        <f t="shared" si="11"/>
        <v>#VALUE!</v>
      </c>
      <c r="R77" s="90" t="e">
        <f t="shared" si="11"/>
        <v>#DIV/0!</v>
      </c>
      <c r="S77" s="123">
        <f t="shared" si="13"/>
        <v>0</v>
      </c>
      <c r="U77" s="28"/>
      <c r="V77" s="28"/>
      <c r="W77" s="28"/>
    </row>
    <row r="78" spans="1:23" hidden="1" x14ac:dyDescent="0.35">
      <c r="A78" s="22" t="s">
        <v>61</v>
      </c>
      <c r="B78" s="81" t="s">
        <v>100</v>
      </c>
      <c r="C78" s="22" t="s">
        <v>8</v>
      </c>
      <c r="D78" s="23">
        <v>6</v>
      </c>
      <c r="E78" s="23"/>
      <c r="F78" s="24"/>
      <c r="G78" s="23">
        <v>485000</v>
      </c>
      <c r="H78" s="24">
        <f>G78*D78</f>
        <v>2910000</v>
      </c>
      <c r="I78" s="23">
        <v>485000</v>
      </c>
      <c r="J78" s="41">
        <f>I78*D78</f>
        <v>2910000</v>
      </c>
      <c r="K78" s="42">
        <v>485000</v>
      </c>
      <c r="L78" s="24">
        <f>K78*D78</f>
        <v>2910000</v>
      </c>
      <c r="M78" s="43">
        <v>485000</v>
      </c>
      <c r="N78" s="41">
        <f>M78*D78</f>
        <v>2910000</v>
      </c>
      <c r="O78" s="42">
        <v>5000</v>
      </c>
      <c r="P78" s="24"/>
      <c r="Q78" s="89" t="e">
        <f t="shared" si="11"/>
        <v>#DIV/0!</v>
      </c>
      <c r="R78" s="90" t="e">
        <f t="shared" si="11"/>
        <v>#DIV/0!</v>
      </c>
      <c r="S78" s="123">
        <f t="shared" si="13"/>
        <v>0</v>
      </c>
      <c r="T78" s="4"/>
      <c r="U78" s="28"/>
      <c r="V78" s="28"/>
      <c r="W78" s="28"/>
    </row>
    <row r="79" spans="1:23" ht="14.15" customHeight="1" x14ac:dyDescent="0.35">
      <c r="A79" s="29"/>
      <c r="B79" s="69"/>
      <c r="C79" s="70"/>
      <c r="D79" s="71"/>
      <c r="E79" s="71"/>
      <c r="F79" s="72"/>
      <c r="G79" s="71"/>
      <c r="H79" s="24"/>
      <c r="I79" s="71"/>
      <c r="J79" s="41"/>
      <c r="K79" s="73"/>
      <c r="L79" s="85"/>
      <c r="M79" s="71"/>
      <c r="N79" s="87"/>
      <c r="O79" s="73"/>
      <c r="P79" s="85"/>
      <c r="Q79" s="71"/>
      <c r="R79" s="88"/>
      <c r="S79" s="122"/>
      <c r="U79" s="28"/>
      <c r="V79" s="28"/>
      <c r="W79" s="28"/>
    </row>
    <row r="80" spans="1:23" ht="14.15" customHeight="1" x14ac:dyDescent="0.35">
      <c r="A80" s="92" t="s">
        <v>102</v>
      </c>
      <c r="B80" s="93" t="s">
        <v>53</v>
      </c>
      <c r="C80" s="22"/>
      <c r="D80" s="23"/>
      <c r="E80" s="23"/>
      <c r="F80" s="141">
        <f>+SUM(F81:F89)</f>
        <v>2143160</v>
      </c>
      <c r="G80" s="23"/>
      <c r="H80" s="23"/>
      <c r="I80" s="23"/>
      <c r="J80" s="41"/>
      <c r="K80" s="42"/>
      <c r="L80" s="24"/>
      <c r="M80" s="43"/>
      <c r="N80" s="41"/>
      <c r="O80" s="42"/>
      <c r="P80" s="144"/>
      <c r="Q80" s="44" t="e">
        <f t="shared" ref="Q80:R89" si="16">(O80/E80)-1</f>
        <v>#DIV/0!</v>
      </c>
      <c r="R80" s="45">
        <f t="shared" si="16"/>
        <v>-1</v>
      </c>
      <c r="S80" s="123"/>
      <c r="U80" s="28"/>
      <c r="V80" s="28"/>
      <c r="W80" s="28"/>
    </row>
    <row r="81" spans="1:23" ht="29" hidden="1" x14ac:dyDescent="0.35">
      <c r="A81" s="22" t="s">
        <v>103</v>
      </c>
      <c r="B81" s="81" t="s">
        <v>95</v>
      </c>
      <c r="C81" s="22" t="s">
        <v>2</v>
      </c>
      <c r="D81" s="23">
        <v>1</v>
      </c>
      <c r="E81" s="23">
        <v>340000</v>
      </c>
      <c r="F81" s="24">
        <f>E81*D81</f>
        <v>340000</v>
      </c>
      <c r="G81" s="32">
        <v>340000</v>
      </c>
      <c r="H81" s="49">
        <f>G81*D81</f>
        <v>340000</v>
      </c>
      <c r="I81" s="25">
        <v>535714</v>
      </c>
      <c r="J81" s="47">
        <f>I81*D81</f>
        <v>535714</v>
      </c>
      <c r="K81" s="42">
        <v>300000</v>
      </c>
      <c r="L81" s="85">
        <f>K81*D81</f>
        <v>300000</v>
      </c>
      <c r="M81" s="43">
        <v>300000</v>
      </c>
      <c r="N81" s="87">
        <f>M81*D81</f>
        <v>300000</v>
      </c>
      <c r="O81" s="42">
        <v>290000</v>
      </c>
      <c r="P81" s="24"/>
      <c r="Q81" s="48">
        <f>(O81/E81)-1</f>
        <v>-0.1470588235294118</v>
      </c>
      <c r="R81" s="27">
        <f>(P81/F81)-1</f>
        <v>-1</v>
      </c>
      <c r="S81" s="123"/>
      <c r="U81" s="28"/>
      <c r="V81" s="28"/>
      <c r="W81" s="28"/>
    </row>
    <row r="82" spans="1:23" ht="29" hidden="1" x14ac:dyDescent="0.35">
      <c r="A82" s="22" t="s">
        <v>104</v>
      </c>
      <c r="B82" s="81" t="s">
        <v>124</v>
      </c>
      <c r="C82" s="22" t="s">
        <v>2</v>
      </c>
      <c r="D82" s="23">
        <v>2</v>
      </c>
      <c r="E82" s="23">
        <v>260000</v>
      </c>
      <c r="F82" s="24">
        <f>E82*D82</f>
        <v>520000</v>
      </c>
      <c r="G82" s="23">
        <v>260000</v>
      </c>
      <c r="H82" s="24">
        <f>G82*D82</f>
        <v>520000</v>
      </c>
      <c r="I82" s="23">
        <v>260000</v>
      </c>
      <c r="J82" s="41">
        <f>I82*D82</f>
        <v>520000</v>
      </c>
      <c r="K82" s="42">
        <v>260000</v>
      </c>
      <c r="L82" s="24">
        <f>K82*D82</f>
        <v>520000</v>
      </c>
      <c r="M82" s="43">
        <v>260000</v>
      </c>
      <c r="N82" s="87">
        <f>M82*D82</f>
        <v>520000</v>
      </c>
      <c r="O82" s="42">
        <f>+O81</f>
        <v>290000</v>
      </c>
      <c r="P82" s="24"/>
      <c r="Q82" s="89">
        <f>(O82/E82)-1</f>
        <v>0.11538461538461542</v>
      </c>
      <c r="R82" s="90">
        <f>(P82/F82)-1</f>
        <v>-1</v>
      </c>
      <c r="S82" s="123">
        <f>+P82</f>
        <v>0</v>
      </c>
      <c r="U82" s="28"/>
      <c r="V82" s="28"/>
      <c r="W82" s="28"/>
    </row>
    <row r="83" spans="1:23" hidden="1" x14ac:dyDescent="0.35">
      <c r="A83" s="22"/>
      <c r="B83" s="127" t="s">
        <v>57</v>
      </c>
      <c r="C83" s="128" t="s">
        <v>2</v>
      </c>
      <c r="D83" s="129"/>
      <c r="E83" s="129">
        <v>225000</v>
      </c>
      <c r="F83" s="130">
        <f t="shared" ref="F83:F89" si="17">E83*D83</f>
        <v>0</v>
      </c>
      <c r="G83" s="131">
        <v>225000</v>
      </c>
      <c r="H83" s="132">
        <f t="shared" ref="H83:H89" si="18">G83*D83</f>
        <v>0</v>
      </c>
      <c r="I83" s="133">
        <v>909724</v>
      </c>
      <c r="J83" s="134">
        <f t="shared" ref="J83:J89" si="19">I83*D83</f>
        <v>0</v>
      </c>
      <c r="K83" s="135">
        <v>180000</v>
      </c>
      <c r="L83" s="136">
        <f t="shared" ref="L83:L89" si="20">K83*D83</f>
        <v>0</v>
      </c>
      <c r="M83" s="137">
        <v>250000</v>
      </c>
      <c r="N83" s="138">
        <f t="shared" ref="N83:N89" si="21">M83*D83</f>
        <v>0</v>
      </c>
      <c r="O83" s="135">
        <v>170000</v>
      </c>
      <c r="P83" s="130"/>
      <c r="Q83" s="48">
        <f t="shared" si="16"/>
        <v>-0.24444444444444446</v>
      </c>
      <c r="R83" s="27" t="e">
        <f t="shared" si="16"/>
        <v>#DIV/0!</v>
      </c>
      <c r="S83" s="126" t="s">
        <v>125</v>
      </c>
      <c r="U83" s="28"/>
      <c r="V83" s="28"/>
      <c r="W83" s="28"/>
    </row>
    <row r="84" spans="1:23" ht="14.15" hidden="1" customHeight="1" x14ac:dyDescent="0.35">
      <c r="A84" s="22" t="s">
        <v>105</v>
      </c>
      <c r="B84" s="46" t="s">
        <v>52</v>
      </c>
      <c r="C84" s="22" t="s">
        <v>2</v>
      </c>
      <c r="D84" s="23">
        <v>6</v>
      </c>
      <c r="E84" s="23">
        <v>13860.000000000002</v>
      </c>
      <c r="F84" s="24">
        <f t="shared" si="17"/>
        <v>83160.000000000015</v>
      </c>
      <c r="G84" s="25">
        <v>95074</v>
      </c>
      <c r="H84" s="26">
        <f t="shared" si="18"/>
        <v>570444</v>
      </c>
      <c r="I84" s="25">
        <v>15476</v>
      </c>
      <c r="J84" s="47">
        <f t="shared" si="19"/>
        <v>92856</v>
      </c>
      <c r="K84" s="42">
        <v>12000</v>
      </c>
      <c r="L84" s="85">
        <f t="shared" si="20"/>
        <v>72000</v>
      </c>
      <c r="M84" s="43">
        <v>18500</v>
      </c>
      <c r="N84" s="87">
        <f t="shared" si="21"/>
        <v>111000</v>
      </c>
      <c r="O84" s="42">
        <f>+K84</f>
        <v>12000</v>
      </c>
      <c r="P84" s="24"/>
      <c r="Q84" s="48">
        <f t="shared" si="16"/>
        <v>-0.13419913419913432</v>
      </c>
      <c r="R84" s="27">
        <f t="shared" si="16"/>
        <v>-1</v>
      </c>
      <c r="S84" s="123"/>
      <c r="U84" s="28"/>
      <c r="V84" s="28"/>
      <c r="W84" s="28"/>
    </row>
    <row r="85" spans="1:23" ht="14.15" hidden="1" customHeight="1" x14ac:dyDescent="0.35">
      <c r="A85" s="22" t="s">
        <v>106</v>
      </c>
      <c r="B85" s="46" t="s">
        <v>72</v>
      </c>
      <c r="C85" s="22" t="s">
        <v>6</v>
      </c>
      <c r="D85" s="23">
        <v>1</v>
      </c>
      <c r="E85" s="23">
        <v>300000</v>
      </c>
      <c r="F85" s="24">
        <f t="shared" si="17"/>
        <v>300000</v>
      </c>
      <c r="G85" s="25">
        <v>103607</v>
      </c>
      <c r="H85" s="26">
        <f t="shared" si="18"/>
        <v>103607</v>
      </c>
      <c r="I85" s="25">
        <v>226190</v>
      </c>
      <c r="J85" s="47">
        <f t="shared" si="19"/>
        <v>226190</v>
      </c>
      <c r="K85" s="42">
        <v>26000</v>
      </c>
      <c r="L85" s="85">
        <f t="shared" si="20"/>
        <v>26000</v>
      </c>
      <c r="M85" s="43">
        <v>160000</v>
      </c>
      <c r="N85" s="87">
        <f t="shared" si="21"/>
        <v>160000</v>
      </c>
      <c r="O85" s="42">
        <v>85000</v>
      </c>
      <c r="P85" s="24"/>
      <c r="Q85" s="48">
        <f t="shared" si="16"/>
        <v>-0.71666666666666667</v>
      </c>
      <c r="R85" s="27">
        <f t="shared" si="16"/>
        <v>-1</v>
      </c>
      <c r="S85" s="123"/>
      <c r="U85" s="28"/>
      <c r="V85" s="28"/>
      <c r="W85" s="28"/>
    </row>
    <row r="86" spans="1:23" ht="14.15" hidden="1" customHeight="1" x14ac:dyDescent="0.35">
      <c r="A86" s="22" t="s">
        <v>107</v>
      </c>
      <c r="B86" s="46" t="s">
        <v>73</v>
      </c>
      <c r="C86" s="22" t="s">
        <v>6</v>
      </c>
      <c r="D86" s="23">
        <v>1</v>
      </c>
      <c r="E86" s="23">
        <v>250000</v>
      </c>
      <c r="F86" s="24">
        <f t="shared" si="17"/>
        <v>250000</v>
      </c>
      <c r="G86" s="32">
        <v>250000</v>
      </c>
      <c r="H86" s="49">
        <f t="shared" si="18"/>
        <v>250000</v>
      </c>
      <c r="I86" s="32">
        <v>250000</v>
      </c>
      <c r="J86" s="50">
        <f t="shared" si="19"/>
        <v>250000</v>
      </c>
      <c r="K86" s="42">
        <v>250000</v>
      </c>
      <c r="L86" s="24">
        <f t="shared" si="20"/>
        <v>250000</v>
      </c>
      <c r="M86" s="43">
        <v>250000</v>
      </c>
      <c r="N86" s="41">
        <f t="shared" si="21"/>
        <v>250000</v>
      </c>
      <c r="O86" s="42">
        <v>60000</v>
      </c>
      <c r="P86" s="24"/>
      <c r="Q86" s="51">
        <f t="shared" si="16"/>
        <v>-0.76</v>
      </c>
      <c r="R86" s="52">
        <f t="shared" si="16"/>
        <v>-1</v>
      </c>
      <c r="S86" s="123">
        <f>+P86</f>
        <v>0</v>
      </c>
      <c r="U86" s="28"/>
      <c r="V86" s="28"/>
      <c r="W86" s="28"/>
    </row>
    <row r="87" spans="1:23" ht="14.15" hidden="1" customHeight="1" x14ac:dyDescent="0.35">
      <c r="A87" s="22" t="s">
        <v>108</v>
      </c>
      <c r="B87" s="46" t="s">
        <v>74</v>
      </c>
      <c r="C87" s="22" t="s">
        <v>2</v>
      </c>
      <c r="D87" s="23">
        <v>2</v>
      </c>
      <c r="E87" s="23">
        <v>75000</v>
      </c>
      <c r="F87" s="24">
        <f t="shared" si="17"/>
        <v>150000</v>
      </c>
      <c r="G87" s="32">
        <v>75000</v>
      </c>
      <c r="H87" s="49">
        <f t="shared" si="18"/>
        <v>150000</v>
      </c>
      <c r="I87" s="32">
        <v>75000</v>
      </c>
      <c r="J87" s="50">
        <f t="shared" si="19"/>
        <v>150000</v>
      </c>
      <c r="K87" s="42">
        <v>75000</v>
      </c>
      <c r="L87" s="24">
        <f t="shared" si="20"/>
        <v>150000</v>
      </c>
      <c r="M87" s="43">
        <v>75000</v>
      </c>
      <c r="N87" s="41">
        <f t="shared" si="21"/>
        <v>150000</v>
      </c>
      <c r="O87" s="42">
        <v>120000</v>
      </c>
      <c r="P87" s="24"/>
      <c r="Q87" s="51">
        <f t="shared" si="16"/>
        <v>0.60000000000000009</v>
      </c>
      <c r="R87" s="52">
        <f t="shared" si="16"/>
        <v>-1</v>
      </c>
      <c r="S87" s="123"/>
      <c r="U87" s="28"/>
      <c r="V87" s="28"/>
      <c r="W87" s="28"/>
    </row>
    <row r="88" spans="1:23" ht="32.25" hidden="1" customHeight="1" x14ac:dyDescent="0.35">
      <c r="A88" s="22" t="s">
        <v>109</v>
      </c>
      <c r="B88" s="81" t="s">
        <v>82</v>
      </c>
      <c r="C88" s="22" t="s">
        <v>8</v>
      </c>
      <c r="D88" s="23">
        <v>10</v>
      </c>
      <c r="E88" s="23">
        <v>35000</v>
      </c>
      <c r="F88" s="24">
        <f t="shared" si="17"/>
        <v>350000</v>
      </c>
      <c r="G88" s="32">
        <v>35000</v>
      </c>
      <c r="H88" s="49">
        <f t="shared" si="18"/>
        <v>350000</v>
      </c>
      <c r="I88" s="32">
        <v>35000</v>
      </c>
      <c r="J88" s="50">
        <f t="shared" si="19"/>
        <v>350000</v>
      </c>
      <c r="K88" s="42">
        <v>35000</v>
      </c>
      <c r="L88" s="24">
        <f t="shared" si="20"/>
        <v>350000</v>
      </c>
      <c r="M88" s="43">
        <v>35000</v>
      </c>
      <c r="N88" s="41">
        <f t="shared" si="21"/>
        <v>350000</v>
      </c>
      <c r="O88" s="42">
        <v>35000</v>
      </c>
      <c r="P88" s="24"/>
      <c r="Q88" s="51">
        <f t="shared" si="16"/>
        <v>0</v>
      </c>
      <c r="R88" s="52">
        <f t="shared" si="16"/>
        <v>-1</v>
      </c>
      <c r="S88" s="123"/>
    </row>
    <row r="89" spans="1:23" ht="14.15" hidden="1" customHeight="1" x14ac:dyDescent="0.35">
      <c r="A89" s="22" t="s">
        <v>110</v>
      </c>
      <c r="B89" s="46" t="s">
        <v>131</v>
      </c>
      <c r="C89" s="22" t="s">
        <v>2</v>
      </c>
      <c r="D89" s="23">
        <v>1</v>
      </c>
      <c r="E89" s="23">
        <v>150000</v>
      </c>
      <c r="F89" s="24">
        <f t="shared" si="17"/>
        <v>150000</v>
      </c>
      <c r="G89" s="32">
        <v>150000</v>
      </c>
      <c r="H89" s="49">
        <f t="shared" si="18"/>
        <v>150000</v>
      </c>
      <c r="I89" s="32">
        <v>150000</v>
      </c>
      <c r="J89" s="50">
        <f t="shared" si="19"/>
        <v>150000</v>
      </c>
      <c r="K89" s="42">
        <v>150000</v>
      </c>
      <c r="L89" s="24">
        <f t="shared" si="20"/>
        <v>150000</v>
      </c>
      <c r="M89" s="43">
        <v>150000</v>
      </c>
      <c r="N89" s="41">
        <f t="shared" si="21"/>
        <v>150000</v>
      </c>
      <c r="O89" s="42">
        <v>150000</v>
      </c>
      <c r="P89" s="24"/>
      <c r="Q89" s="51">
        <f t="shared" si="16"/>
        <v>0</v>
      </c>
      <c r="R89" s="52">
        <f t="shared" si="16"/>
        <v>-1</v>
      </c>
      <c r="S89" s="123"/>
    </row>
    <row r="90" spans="1:23" ht="14.15" customHeight="1" x14ac:dyDescent="0.35">
      <c r="A90" s="29"/>
      <c r="B90" s="69"/>
      <c r="C90" s="70"/>
      <c r="D90" s="71"/>
      <c r="E90" s="71"/>
      <c r="F90" s="72"/>
      <c r="G90" s="71"/>
      <c r="H90" s="24"/>
      <c r="I90" s="71"/>
      <c r="J90" s="41"/>
      <c r="K90" s="73"/>
      <c r="L90" s="85"/>
      <c r="M90" s="71"/>
      <c r="N90" s="87"/>
      <c r="O90" s="73"/>
      <c r="P90" s="85"/>
      <c r="Q90" s="71"/>
      <c r="R90" s="88"/>
      <c r="S90" s="122"/>
      <c r="U90" s="28"/>
      <c r="V90" s="28"/>
      <c r="W90" s="28"/>
    </row>
    <row r="91" spans="1:23" ht="14.15" customHeight="1" x14ac:dyDescent="0.35">
      <c r="A91" s="92" t="s">
        <v>24</v>
      </c>
      <c r="B91" s="21" t="s">
        <v>75</v>
      </c>
      <c r="C91" s="22"/>
      <c r="D91" s="23"/>
      <c r="E91" s="23"/>
      <c r="F91" s="141">
        <f>+SUM(F92:F94)</f>
        <v>1142000</v>
      </c>
      <c r="G91" s="23"/>
      <c r="H91" s="23"/>
      <c r="I91" s="23"/>
      <c r="J91" s="41"/>
      <c r="K91" s="42"/>
      <c r="L91" s="24"/>
      <c r="M91" s="43"/>
      <c r="N91" s="41"/>
      <c r="O91" s="42"/>
      <c r="P91" s="144"/>
      <c r="Q91" s="44" t="e">
        <f>(O91/E91)-1</f>
        <v>#DIV/0!</v>
      </c>
      <c r="R91" s="45">
        <f>(P91/F91)-1</f>
        <v>-1</v>
      </c>
      <c r="S91" s="123"/>
      <c r="U91" s="28"/>
      <c r="V91" s="28"/>
      <c r="W91" s="28"/>
    </row>
    <row r="92" spans="1:23" ht="30" hidden="1" customHeight="1" x14ac:dyDescent="0.35">
      <c r="A92" s="22" t="s">
        <v>92</v>
      </c>
      <c r="B92" s="81" t="s">
        <v>91</v>
      </c>
      <c r="C92" s="22" t="s">
        <v>6</v>
      </c>
      <c r="D92" s="23">
        <v>1</v>
      </c>
      <c r="E92" s="23">
        <v>692000</v>
      </c>
      <c r="F92" s="24">
        <f>E92*D92</f>
        <v>692000</v>
      </c>
      <c r="G92" s="23">
        <v>1350000</v>
      </c>
      <c r="H92" s="24">
        <f>G92*D92</f>
        <v>1350000</v>
      </c>
      <c r="I92" s="23">
        <v>1350001</v>
      </c>
      <c r="J92" s="41">
        <f>I92*D92</f>
        <v>1350001</v>
      </c>
      <c r="K92" s="42">
        <v>1350002</v>
      </c>
      <c r="L92" s="24">
        <f>K92*D92</f>
        <v>1350002</v>
      </c>
      <c r="M92" s="43">
        <v>1350003</v>
      </c>
      <c r="N92" s="41">
        <f>M92*D92</f>
        <v>1350003</v>
      </c>
      <c r="O92" s="42">
        <f>+E92</f>
        <v>692000</v>
      </c>
      <c r="P92" s="24">
        <f>O92*D92</f>
        <v>692000</v>
      </c>
      <c r="Q92" s="89">
        <f>(O92/E92)-1</f>
        <v>0</v>
      </c>
      <c r="R92" s="90">
        <f>(P92/F92)-1</f>
        <v>0</v>
      </c>
      <c r="S92" s="123"/>
      <c r="U92" s="28"/>
      <c r="V92" s="28"/>
      <c r="W92" s="28"/>
    </row>
    <row r="93" spans="1:23" ht="30" hidden="1" customHeight="1" x14ac:dyDescent="0.35">
      <c r="A93" s="22" t="s">
        <v>93</v>
      </c>
      <c r="B93" s="81" t="s">
        <v>79</v>
      </c>
      <c r="C93" s="22" t="s">
        <v>2</v>
      </c>
      <c r="D93" s="23">
        <v>1</v>
      </c>
      <c r="E93" s="23">
        <v>450000</v>
      </c>
      <c r="F93" s="24">
        <f>E93*D93</f>
        <v>450000</v>
      </c>
      <c r="G93" s="23"/>
      <c r="H93" s="24"/>
      <c r="I93" s="23"/>
      <c r="J93" s="41"/>
      <c r="K93" s="42"/>
      <c r="L93" s="24"/>
      <c r="M93" s="43"/>
      <c r="N93" s="41"/>
      <c r="O93" s="42">
        <f>+E93</f>
        <v>450000</v>
      </c>
      <c r="P93" s="24">
        <f>O93*D93</f>
        <v>450000</v>
      </c>
      <c r="Q93" s="89"/>
      <c r="R93" s="90"/>
      <c r="S93" s="123"/>
      <c r="U93" s="28"/>
      <c r="V93" s="28"/>
      <c r="W93" s="28"/>
    </row>
    <row r="94" spans="1:23" ht="30" hidden="1" customHeight="1" x14ac:dyDescent="0.35">
      <c r="A94" s="22" t="s">
        <v>94</v>
      </c>
      <c r="B94" s="81" t="s">
        <v>126</v>
      </c>
      <c r="C94" s="22" t="s">
        <v>2</v>
      </c>
      <c r="D94" s="23">
        <v>1</v>
      </c>
      <c r="E94" s="23"/>
      <c r="F94" s="24"/>
      <c r="G94" s="23"/>
      <c r="H94" s="24"/>
      <c r="I94" s="23"/>
      <c r="J94" s="41"/>
      <c r="K94" s="42"/>
      <c r="L94" s="24"/>
      <c r="M94" s="43"/>
      <c r="N94" s="41"/>
      <c r="O94" s="42">
        <f>+O74</f>
        <v>150000</v>
      </c>
      <c r="P94" s="24">
        <f>O94*D94</f>
        <v>150000</v>
      </c>
      <c r="Q94" s="89"/>
      <c r="R94" s="90"/>
      <c r="S94" s="123"/>
      <c r="U94" s="28"/>
      <c r="V94" s="28"/>
      <c r="W94" s="28"/>
    </row>
    <row r="95" spans="1:23" ht="14.15" customHeight="1" thickBot="1" x14ac:dyDescent="0.4">
      <c r="A95" s="29"/>
      <c r="B95" s="69"/>
      <c r="C95" s="70"/>
      <c r="D95" s="71"/>
      <c r="E95" s="71"/>
      <c r="F95" s="72"/>
      <c r="G95" s="71"/>
      <c r="H95" s="72"/>
      <c r="I95" s="71"/>
      <c r="J95" s="71"/>
      <c r="K95" s="94"/>
      <c r="L95" s="95"/>
      <c r="M95" s="71"/>
      <c r="N95" s="71"/>
      <c r="O95" s="94"/>
      <c r="P95" s="95"/>
      <c r="Q95" s="71"/>
      <c r="R95" s="43"/>
      <c r="S95" s="124"/>
    </row>
    <row r="96" spans="1:23" ht="14.15" customHeight="1" thickBot="1" x14ac:dyDescent="0.4">
      <c r="A96" s="374" t="s">
        <v>11</v>
      </c>
      <c r="B96" s="375"/>
      <c r="C96" s="375"/>
      <c r="D96" s="375"/>
      <c r="E96" s="376"/>
      <c r="F96" s="37">
        <f>+SUM(F61:F94)-F91-F80-F70-F61</f>
        <v>15864670</v>
      </c>
      <c r="G96" s="80"/>
      <c r="H96" s="37">
        <f>SUM(H62:H94)</f>
        <v>40929141</v>
      </c>
      <c r="I96" s="80"/>
      <c r="J96" s="37">
        <f>SUM(J62:J94)</f>
        <v>48785221.640000001</v>
      </c>
      <c r="K96" s="80"/>
      <c r="L96" s="37">
        <f>SUM(L62:L68)</f>
        <v>23803000</v>
      </c>
      <c r="M96" s="80"/>
      <c r="N96" s="37">
        <f>SUM(N62:N94)</f>
        <v>3.4611200000002936E+20</v>
      </c>
      <c r="O96" s="68"/>
      <c r="P96" s="37"/>
      <c r="Q96" s="38"/>
      <c r="R96" s="96">
        <f>(P96/F96)-1</f>
        <v>-1</v>
      </c>
      <c r="S96" s="123"/>
    </row>
    <row r="97" spans="1:23" s="3" customFormat="1" ht="15" thickBot="1" x14ac:dyDescent="0.4">
      <c r="A97" s="156"/>
      <c r="B97" s="157"/>
      <c r="C97" s="158"/>
      <c r="D97" s="159"/>
      <c r="E97" s="160"/>
      <c r="F97" s="161"/>
      <c r="G97" s="160"/>
      <c r="H97" s="161"/>
      <c r="I97" s="160"/>
      <c r="J97" s="161"/>
      <c r="K97" s="160"/>
      <c r="L97" s="161"/>
      <c r="M97" s="160"/>
      <c r="N97" s="161"/>
      <c r="O97" s="162"/>
      <c r="P97" s="161"/>
      <c r="Q97" s="98"/>
      <c r="R97" s="99"/>
      <c r="S97" s="124"/>
      <c r="T97" s="2"/>
      <c r="U97" s="4"/>
      <c r="V97" s="4"/>
      <c r="W97" s="4"/>
    </row>
    <row r="98" spans="1:23" s="3" customFormat="1" ht="12.75" customHeight="1" x14ac:dyDescent="0.35">
      <c r="A98" s="364" t="s">
        <v>15</v>
      </c>
      <c r="B98" s="365"/>
      <c r="C98" s="365"/>
      <c r="D98" s="365"/>
      <c r="E98" s="152"/>
      <c r="F98" s="368" t="e">
        <f>F96+F56+F36+F14</f>
        <v>#REF!</v>
      </c>
      <c r="G98" s="150"/>
      <c r="H98" s="377" t="e">
        <f>H96+H56+H36+H14</f>
        <v>#REF!</v>
      </c>
      <c r="I98" s="100"/>
      <c r="J98" s="377" t="e">
        <f>J96+J56+J36+J14</f>
        <v>#REF!</v>
      </c>
      <c r="K98" s="100"/>
      <c r="L98" s="377" t="e">
        <f>L96+L56+L36+L14</f>
        <v>#REF!</v>
      </c>
      <c r="M98" s="100"/>
      <c r="N98" s="377" t="e">
        <f>N96+N56+N36+N14</f>
        <v>#REF!</v>
      </c>
      <c r="O98" s="100"/>
      <c r="P98" s="368"/>
      <c r="Q98" s="381"/>
      <c r="R98" s="383" t="e">
        <f>(P98/F98)-1</f>
        <v>#REF!</v>
      </c>
      <c r="S98" s="123"/>
      <c r="T98" s="2"/>
      <c r="U98" s="4"/>
      <c r="V98" s="4"/>
      <c r="W98" s="4"/>
    </row>
    <row r="99" spans="1:23" s="3" customFormat="1" ht="12.75" customHeight="1" thickBot="1" x14ac:dyDescent="0.4">
      <c r="A99" s="366"/>
      <c r="B99" s="367"/>
      <c r="C99" s="367"/>
      <c r="D99" s="367"/>
      <c r="E99" s="153"/>
      <c r="F99" s="369"/>
      <c r="G99" s="151"/>
      <c r="H99" s="378"/>
      <c r="I99" s="149"/>
      <c r="J99" s="378"/>
      <c r="K99" s="149"/>
      <c r="L99" s="378"/>
      <c r="M99" s="149"/>
      <c r="N99" s="378"/>
      <c r="O99" s="149"/>
      <c r="P99" s="369"/>
      <c r="Q99" s="382"/>
      <c r="R99" s="384"/>
      <c r="S99" s="123"/>
      <c r="T99" s="2"/>
      <c r="U99" s="4"/>
      <c r="V99" s="4"/>
      <c r="W99" s="4"/>
    </row>
    <row r="100" spans="1:23" s="3" customFormat="1" x14ac:dyDescent="0.35">
      <c r="A100" s="19"/>
      <c r="B100" s="19"/>
      <c r="C100" s="19"/>
      <c r="D100" s="19"/>
      <c r="E100" s="101"/>
      <c r="F100" s="19"/>
      <c r="G100" s="101"/>
      <c r="H100" s="19"/>
      <c r="I100" s="19"/>
      <c r="J100" s="19"/>
      <c r="K100" s="19"/>
      <c r="L100" s="19"/>
      <c r="M100" s="19"/>
      <c r="N100" s="19"/>
      <c r="O100" s="19"/>
      <c r="P100" s="115"/>
      <c r="Q100" s="19"/>
      <c r="R100" s="19"/>
      <c r="S100" s="116"/>
      <c r="T100" s="2"/>
      <c r="U100" s="4"/>
      <c r="V100" s="4"/>
      <c r="W100" s="4"/>
    </row>
    <row r="101" spans="1:23" s="3" customFormat="1" x14ac:dyDescent="0.35">
      <c r="A101" s="4"/>
      <c r="B101" s="2"/>
      <c r="C101" s="350">
        <f>+SUM(S2:S97)</f>
        <v>0</v>
      </c>
      <c r="D101" s="350"/>
      <c r="E101" s="350"/>
      <c r="F101" s="350"/>
      <c r="G101" s="4"/>
      <c r="H101" s="97"/>
      <c r="I101" s="97"/>
      <c r="J101" s="97"/>
      <c r="K101" s="97"/>
      <c r="L101" s="97"/>
      <c r="M101" s="97"/>
      <c r="N101" s="97"/>
      <c r="O101" s="97"/>
      <c r="P101" s="115"/>
      <c r="Q101" s="97"/>
      <c r="R101" s="97"/>
      <c r="S101" s="125"/>
      <c r="T101" s="116"/>
      <c r="U101" s="4"/>
      <c r="V101" s="4"/>
      <c r="W101" s="4"/>
    </row>
    <row r="102" spans="1:23" s="3" customFormat="1" x14ac:dyDescent="0.35">
      <c r="A102" s="4"/>
      <c r="B102" s="4"/>
      <c r="C102" s="350">
        <v>750000</v>
      </c>
      <c r="D102" s="350"/>
      <c r="E102" s="350"/>
      <c r="F102" s="350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125"/>
      <c r="T102" s="2"/>
      <c r="U102" s="4"/>
      <c r="V102" s="4"/>
      <c r="W102" s="4"/>
    </row>
    <row r="104" spans="1:23" s="3" customFormat="1" x14ac:dyDescent="0.35">
      <c r="A104" s="4"/>
      <c r="B104" s="4"/>
      <c r="C104" s="350">
        <f>+P98-C101+C102</f>
        <v>750000</v>
      </c>
      <c r="D104" s="351"/>
      <c r="E104" s="351"/>
      <c r="F104" s="351"/>
      <c r="G104" s="4"/>
      <c r="H104" s="97" t="e">
        <f>H98+#REF!</f>
        <v>#REF!</v>
      </c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125"/>
      <c r="T104" s="2"/>
      <c r="U104" s="4"/>
      <c r="V104" s="4"/>
      <c r="W104" s="4"/>
    </row>
    <row r="105" spans="1:23" s="3" customFormat="1" x14ac:dyDescent="0.35">
      <c r="A105" s="4"/>
      <c r="B105" s="4"/>
      <c r="C105" s="350">
        <f>200000/0.00838</f>
        <v>23866348.448687349</v>
      </c>
      <c r="D105" s="351"/>
      <c r="E105" s="351"/>
      <c r="F105" s="351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125"/>
      <c r="T105" s="2"/>
      <c r="U105" s="4"/>
      <c r="V105" s="4"/>
      <c r="W105" s="4"/>
    </row>
    <row r="106" spans="1:23" s="3" customFormat="1" ht="15" thickBot="1" x14ac:dyDescent="0.4">
      <c r="A106" s="4"/>
      <c r="B106" s="4"/>
      <c r="C106" s="352">
        <f>+C105-C104</f>
        <v>23116348.448687349</v>
      </c>
      <c r="D106" s="353"/>
      <c r="E106" s="353"/>
      <c r="F106" s="35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125"/>
      <c r="T106" s="2"/>
      <c r="U106" s="4"/>
      <c r="V106" s="4"/>
      <c r="W106" s="4"/>
    </row>
    <row r="107" spans="1:23" x14ac:dyDescent="0.35">
      <c r="A107" s="154" t="s">
        <v>0</v>
      </c>
      <c r="B107" s="5" t="s">
        <v>1</v>
      </c>
      <c r="C107" s="6" t="s">
        <v>2</v>
      </c>
      <c r="D107" s="7" t="s">
        <v>3</v>
      </c>
      <c r="E107" s="8" t="s">
        <v>4</v>
      </c>
      <c r="F107" s="9" t="s">
        <v>5</v>
      </c>
      <c r="G107" s="8" t="s">
        <v>4</v>
      </c>
      <c r="H107" s="9" t="s">
        <v>5</v>
      </c>
      <c r="I107" s="8" t="s">
        <v>4</v>
      </c>
      <c r="J107" s="9" t="s">
        <v>5</v>
      </c>
      <c r="K107" s="8" t="s">
        <v>4</v>
      </c>
      <c r="L107" s="9" t="s">
        <v>5</v>
      </c>
      <c r="M107" s="8" t="s">
        <v>4</v>
      </c>
      <c r="N107" s="9" t="s">
        <v>5</v>
      </c>
      <c r="O107" s="8" t="s">
        <v>4</v>
      </c>
      <c r="P107" s="9" t="s">
        <v>5</v>
      </c>
    </row>
    <row r="108" spans="1:23" ht="15" thickBot="1" x14ac:dyDescent="0.4">
      <c r="A108" s="155"/>
      <c r="B108" s="12"/>
      <c r="C108" s="13"/>
      <c r="D108" s="14"/>
      <c r="E108" s="15"/>
      <c r="F108" s="16" t="s">
        <v>47</v>
      </c>
      <c r="G108" s="15"/>
      <c r="H108" s="16" t="s">
        <v>47</v>
      </c>
      <c r="I108" s="15"/>
      <c r="J108" s="16" t="s">
        <v>47</v>
      </c>
      <c r="K108" s="15"/>
      <c r="L108" s="16" t="s">
        <v>47</v>
      </c>
      <c r="M108" s="15"/>
      <c r="N108" s="16" t="s">
        <v>47</v>
      </c>
      <c r="O108" s="15"/>
      <c r="P108" s="16" t="s">
        <v>47</v>
      </c>
    </row>
    <row r="109" spans="1:23" x14ac:dyDescent="0.35">
      <c r="A109" s="360" t="s">
        <v>142</v>
      </c>
      <c r="B109" s="355"/>
      <c r="C109" s="355"/>
      <c r="D109" s="355"/>
      <c r="E109" s="355"/>
      <c r="F109" s="355"/>
      <c r="G109" s="355"/>
      <c r="H109" s="355"/>
      <c r="I109" s="355"/>
      <c r="J109" s="355"/>
      <c r="K109" s="355"/>
      <c r="L109" s="355"/>
      <c r="M109" s="355"/>
      <c r="N109" s="355"/>
      <c r="O109" s="355"/>
      <c r="P109" s="361"/>
    </row>
    <row r="110" spans="1:23" ht="15" thickBot="1" x14ac:dyDescent="0.4">
      <c r="A110" s="362"/>
      <c r="B110" s="358"/>
      <c r="C110" s="358"/>
      <c r="D110" s="358"/>
      <c r="E110" s="358"/>
      <c r="F110" s="358"/>
      <c r="G110" s="358"/>
      <c r="H110" s="358"/>
      <c r="I110" s="358"/>
      <c r="J110" s="358"/>
      <c r="K110" s="358"/>
      <c r="L110" s="358"/>
      <c r="M110" s="358"/>
      <c r="N110" s="358"/>
      <c r="O110" s="358"/>
      <c r="P110" s="363"/>
    </row>
    <row r="111" spans="1:23" x14ac:dyDescent="0.35">
      <c r="A111" s="385"/>
      <c r="B111" s="379"/>
      <c r="C111" s="379"/>
      <c r="D111" s="379"/>
      <c r="E111" s="379"/>
      <c r="F111" s="386"/>
      <c r="G111" s="379"/>
      <c r="H111" s="386"/>
      <c r="I111" s="379"/>
      <c r="J111" s="379"/>
      <c r="K111" s="392"/>
      <c r="L111" s="393"/>
      <c r="M111" s="379"/>
      <c r="N111" s="379"/>
      <c r="O111" s="392"/>
      <c r="P111" s="393"/>
    </row>
    <row r="112" spans="1:23" x14ac:dyDescent="0.35">
      <c r="A112" s="20" t="s">
        <v>24</v>
      </c>
      <c r="B112" s="21" t="s">
        <v>70</v>
      </c>
      <c r="C112" s="22"/>
      <c r="D112" s="23"/>
      <c r="E112" s="23"/>
      <c r="F112" s="141" t="e">
        <f>+SUM(#REF!)</f>
        <v>#REF!</v>
      </c>
      <c r="G112" s="23"/>
      <c r="H112" s="23"/>
      <c r="I112" s="23"/>
      <c r="J112" s="41"/>
      <c r="K112" s="42"/>
      <c r="L112" s="24"/>
      <c r="M112" s="43"/>
      <c r="N112" s="41"/>
      <c r="O112" s="42"/>
      <c r="P112" s="144"/>
    </row>
    <row r="113" spans="1:16" x14ac:dyDescent="0.35">
      <c r="A113" s="92" t="s">
        <v>102</v>
      </c>
      <c r="B113" s="93" t="s">
        <v>53</v>
      </c>
      <c r="C113" s="22"/>
      <c r="D113" s="23"/>
      <c r="E113" s="23"/>
      <c r="F113" s="141" t="e">
        <f>+SUM(#REF!)</f>
        <v>#REF!</v>
      </c>
      <c r="G113" s="23"/>
      <c r="H113" s="23"/>
      <c r="I113" s="23"/>
      <c r="J113" s="41"/>
      <c r="K113" s="42"/>
      <c r="L113" s="24"/>
      <c r="M113" s="43"/>
      <c r="N113" s="41"/>
      <c r="O113" s="42"/>
      <c r="P113" s="144"/>
    </row>
    <row r="114" spans="1:16" ht="15" thickBot="1" x14ac:dyDescent="0.4">
      <c r="A114" s="92" t="s">
        <v>24</v>
      </c>
      <c r="B114" s="21" t="s">
        <v>75</v>
      </c>
      <c r="C114" s="22"/>
      <c r="D114" s="23"/>
      <c r="E114" s="23"/>
      <c r="F114" s="141" t="e">
        <f>+SUM(#REF!)</f>
        <v>#REF!</v>
      </c>
      <c r="G114" s="23"/>
      <c r="H114" s="23"/>
      <c r="I114" s="23"/>
      <c r="J114" s="41"/>
      <c r="K114" s="42"/>
      <c r="L114" s="24"/>
      <c r="M114" s="43"/>
      <c r="N114" s="41"/>
      <c r="O114" s="42"/>
      <c r="P114" s="144"/>
    </row>
    <row r="115" spans="1:16" ht="15" thickBot="1" x14ac:dyDescent="0.4">
      <c r="A115" s="374" t="s">
        <v>141</v>
      </c>
      <c r="B115" s="375"/>
      <c r="C115" s="375"/>
      <c r="D115" s="375"/>
      <c r="E115" s="376"/>
      <c r="F115" s="37" t="e">
        <f>+SUM(F112:F114)-F114-F113-F112-#REF!</f>
        <v>#REF!</v>
      </c>
      <c r="G115" s="80"/>
      <c r="H115" s="37">
        <f>SUM(H112:H114)</f>
        <v>0</v>
      </c>
      <c r="I115" s="80"/>
      <c r="J115" s="37">
        <f>SUM(J112:J114)</f>
        <v>0</v>
      </c>
      <c r="K115" s="80"/>
      <c r="L115" s="37" t="e">
        <f>SUM(#REF!)</f>
        <v>#REF!</v>
      </c>
      <c r="M115" s="80"/>
      <c r="N115" s="37">
        <f>SUM(N112:N114)</f>
        <v>0</v>
      </c>
      <c r="O115" s="68"/>
      <c r="P115" s="37"/>
    </row>
    <row r="116" spans="1:16" ht="15" thickBot="1" x14ac:dyDescent="0.4">
      <c r="A116" s="156"/>
      <c r="B116" s="157"/>
      <c r="C116" s="158"/>
      <c r="D116" s="159"/>
      <c r="E116" s="160"/>
      <c r="F116" s="161"/>
      <c r="G116" s="160"/>
      <c r="H116" s="161"/>
      <c r="I116" s="160"/>
      <c r="J116" s="161"/>
      <c r="K116" s="160"/>
      <c r="L116" s="161"/>
      <c r="M116" s="160"/>
      <c r="N116" s="161"/>
      <c r="O116" s="162"/>
      <c r="P116" s="161"/>
    </row>
    <row r="117" spans="1:16" x14ac:dyDescent="0.35">
      <c r="A117" s="364" t="s">
        <v>143</v>
      </c>
      <c r="B117" s="365"/>
      <c r="C117" s="365"/>
      <c r="D117" s="365"/>
      <c r="E117" s="152"/>
      <c r="F117" s="368" t="e">
        <f>F115+F107+F88+F66</f>
        <v>#REF!</v>
      </c>
      <c r="G117" s="150"/>
      <c r="H117" s="377" t="e">
        <f>H115+H107+H88+H66</f>
        <v>#VALUE!</v>
      </c>
      <c r="I117" s="100"/>
      <c r="J117" s="377" t="e">
        <f>J115+J107+J88+J66</f>
        <v>#VALUE!</v>
      </c>
      <c r="K117" s="100"/>
      <c r="L117" s="377" t="e">
        <f>L115+L107+L88+L66</f>
        <v>#REF!</v>
      </c>
      <c r="M117" s="100"/>
      <c r="N117" s="377" t="e">
        <f>N115+N107+N88+N66</f>
        <v>#VALUE!</v>
      </c>
      <c r="O117" s="100"/>
      <c r="P117" s="368">
        <f>+P115</f>
        <v>0</v>
      </c>
    </row>
    <row r="118" spans="1:16" ht="15" thickBot="1" x14ac:dyDescent="0.4">
      <c r="A118" s="366"/>
      <c r="B118" s="367"/>
      <c r="C118" s="367"/>
      <c r="D118" s="367"/>
      <c r="E118" s="153"/>
      <c r="F118" s="369"/>
      <c r="G118" s="151"/>
      <c r="H118" s="378"/>
      <c r="I118" s="149"/>
      <c r="J118" s="378"/>
      <c r="K118" s="149"/>
      <c r="L118" s="378"/>
      <c r="M118" s="149"/>
      <c r="N118" s="378"/>
      <c r="O118" s="149"/>
      <c r="P118" s="369"/>
    </row>
  </sheetData>
  <mergeCells count="99">
    <mergeCell ref="J117:J118"/>
    <mergeCell ref="L117:L118"/>
    <mergeCell ref="N117:N118"/>
    <mergeCell ref="P117:P118"/>
    <mergeCell ref="A115:E115"/>
    <mergeCell ref="A117:D118"/>
    <mergeCell ref="F117:F118"/>
    <mergeCell ref="H117:H118"/>
    <mergeCell ref="A109:P110"/>
    <mergeCell ref="A111:F111"/>
    <mergeCell ref="G111:H111"/>
    <mergeCell ref="I111:J111"/>
    <mergeCell ref="K111:L111"/>
    <mergeCell ref="M111:N111"/>
    <mergeCell ref="O111:P111"/>
    <mergeCell ref="Q3:R4"/>
    <mergeCell ref="Q5:R5"/>
    <mergeCell ref="A13:F13"/>
    <mergeCell ref="G13:H13"/>
    <mergeCell ref="I13:J13"/>
    <mergeCell ref="K13:L13"/>
    <mergeCell ref="M13:N13"/>
    <mergeCell ref="O13:P13"/>
    <mergeCell ref="Q13:R13"/>
    <mergeCell ref="A5:F5"/>
    <mergeCell ref="G5:H5"/>
    <mergeCell ref="I5:J5"/>
    <mergeCell ref="K5:L5"/>
    <mergeCell ref="M5:N5"/>
    <mergeCell ref="O5:P5"/>
    <mergeCell ref="Q15:R15"/>
    <mergeCell ref="Q16:R17"/>
    <mergeCell ref="A14:E14"/>
    <mergeCell ref="A15:F15"/>
    <mergeCell ref="G15:H15"/>
    <mergeCell ref="I15:J15"/>
    <mergeCell ref="K15:L15"/>
    <mergeCell ref="M15:N15"/>
    <mergeCell ref="Q18:R18"/>
    <mergeCell ref="A36:E36"/>
    <mergeCell ref="A37:F37"/>
    <mergeCell ref="G37:H37"/>
    <mergeCell ref="I37:J37"/>
    <mergeCell ref="K37:L37"/>
    <mergeCell ref="M37:N37"/>
    <mergeCell ref="O37:P37"/>
    <mergeCell ref="Q37:R37"/>
    <mergeCell ref="A18:F18"/>
    <mergeCell ref="G18:H18"/>
    <mergeCell ref="I18:J18"/>
    <mergeCell ref="K18:L18"/>
    <mergeCell ref="M18:N18"/>
    <mergeCell ref="O18:P18"/>
    <mergeCell ref="Q57:R57"/>
    <mergeCell ref="K60:L60"/>
    <mergeCell ref="M60:N60"/>
    <mergeCell ref="Q58:R59"/>
    <mergeCell ref="A56:E56"/>
    <mergeCell ref="Q38:R39"/>
    <mergeCell ref="A40:F40"/>
    <mergeCell ref="G40:H40"/>
    <mergeCell ref="I40:J40"/>
    <mergeCell ref="K40:L40"/>
    <mergeCell ref="M40:N40"/>
    <mergeCell ref="O40:P40"/>
    <mergeCell ref="Q40:R40"/>
    <mergeCell ref="A57:F57"/>
    <mergeCell ref="G57:H57"/>
    <mergeCell ref="I57:J57"/>
    <mergeCell ref="K57:L57"/>
    <mergeCell ref="M57:N57"/>
    <mergeCell ref="Q60:R60"/>
    <mergeCell ref="Q98:Q99"/>
    <mergeCell ref="R98:R99"/>
    <mergeCell ref="C101:F101"/>
    <mergeCell ref="C102:F102"/>
    <mergeCell ref="N98:N99"/>
    <mergeCell ref="A60:F60"/>
    <mergeCell ref="G60:H60"/>
    <mergeCell ref="I60:J60"/>
    <mergeCell ref="G62:G64"/>
    <mergeCell ref="H62:H64"/>
    <mergeCell ref="O60:P60"/>
    <mergeCell ref="C104:F104"/>
    <mergeCell ref="C105:F105"/>
    <mergeCell ref="C106:F106"/>
    <mergeCell ref="A16:P17"/>
    <mergeCell ref="A3:P4"/>
    <mergeCell ref="A38:P39"/>
    <mergeCell ref="A58:P59"/>
    <mergeCell ref="A98:D99"/>
    <mergeCell ref="P98:P99"/>
    <mergeCell ref="O57:P57"/>
    <mergeCell ref="O15:P15"/>
    <mergeCell ref="A96:E96"/>
    <mergeCell ref="F98:F99"/>
    <mergeCell ref="H98:H99"/>
    <mergeCell ref="J98:J99"/>
    <mergeCell ref="L98:L99"/>
  </mergeCells>
  <conditionalFormatting sqref="C106:F106">
    <cfRule type="cellIs" dxfId="3" priority="1" operator="lessThan">
      <formula>0</formula>
    </cfRule>
    <cfRule type="cellIs" dxfId="2" priority="2" operator="greaterThan">
      <formula>0</formula>
    </cfRule>
  </conditionalFormatting>
  <printOptions horizontalCentered="1"/>
  <pageMargins left="0.25" right="0.25" top="0.75" bottom="0.75" header="0.3" footer="0.3"/>
  <pageSetup paperSize="9" scale="79" fitToHeight="0" orientation="portrait" r:id="rId1"/>
  <headerFooter alignWithMargins="0">
    <oddHeader xml:space="preserve">&amp;L&amp;11Mairie OUVEA&amp;C&amp;"Arial,Gras"&amp;14Bâtiment administratif des docks municipaux&amp;RDCE </oddHeader>
    <oddFooter>&amp;LDCE&amp;CPage &amp;P/&amp;N&amp;R&amp;D</oddFooter>
  </headerFooter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2FF33-1C49-4A59-BA64-487F5EDE9ECA}">
  <sheetPr codeName="Feuil13">
    <tabColor rgb="FF92D050"/>
    <pageSetUpPr fitToPage="1"/>
  </sheetPr>
  <dimension ref="A1:S127"/>
  <sheetViews>
    <sheetView showGridLines="0" zoomScale="115" zoomScaleNormal="115" zoomScaleSheetLayoutView="100" workbookViewId="0">
      <selection activeCell="U116" sqref="U116"/>
    </sheetView>
  </sheetViews>
  <sheetFormatPr defaultColWidth="11.453125" defaultRowHeight="13" x14ac:dyDescent="0.3"/>
  <cols>
    <col min="1" max="1" width="7" style="165" bestFit="1" customWidth="1"/>
    <col min="2" max="2" width="51.81640625" style="165" customWidth="1"/>
    <col min="3" max="3" width="3.453125" style="165" bestFit="1" customWidth="1"/>
    <col min="4" max="4" width="7.1796875" style="165" bestFit="1" customWidth="1"/>
    <col min="5" max="5" width="8.81640625" style="165" bestFit="1" customWidth="1"/>
    <col min="6" max="6" width="9.81640625" style="165" bestFit="1" customWidth="1"/>
    <col min="7" max="7" width="11.54296875" style="165" hidden="1" customWidth="1"/>
    <col min="8" max="16" width="14.1796875" style="165" hidden="1" customWidth="1"/>
    <col min="17" max="17" width="14.1796875" style="273" customWidth="1"/>
    <col min="18" max="16384" width="11.453125" style="165"/>
  </cols>
  <sheetData>
    <row r="1" spans="1:17" x14ac:dyDescent="0.3">
      <c r="A1" s="320" t="s">
        <v>0</v>
      </c>
      <c r="B1" s="321" t="s">
        <v>1</v>
      </c>
      <c r="C1" s="322" t="s">
        <v>2</v>
      </c>
      <c r="D1" s="323" t="s">
        <v>3</v>
      </c>
      <c r="E1" s="419" t="s">
        <v>145</v>
      </c>
      <c r="F1" s="325" t="s">
        <v>5</v>
      </c>
      <c r="G1" s="324" t="s">
        <v>4</v>
      </c>
      <c r="H1" s="325" t="s">
        <v>5</v>
      </c>
      <c r="I1" s="324" t="s">
        <v>4</v>
      </c>
      <c r="J1" s="325" t="s">
        <v>5</v>
      </c>
      <c r="K1" s="324" t="s">
        <v>4</v>
      </c>
      <c r="L1" s="325" t="s">
        <v>5</v>
      </c>
      <c r="M1" s="324" t="s">
        <v>4</v>
      </c>
      <c r="N1" s="326" t="s">
        <v>5</v>
      </c>
      <c r="O1" s="166" t="s">
        <v>4</v>
      </c>
      <c r="P1" s="167" t="s">
        <v>5</v>
      </c>
      <c r="Q1" s="163"/>
    </row>
    <row r="2" spans="1:17" ht="13.5" thickBot="1" x14ac:dyDescent="0.35">
      <c r="A2" s="168"/>
      <c r="B2" s="169"/>
      <c r="C2" s="170"/>
      <c r="D2" s="171"/>
      <c r="E2" s="420"/>
      <c r="F2" s="173" t="s">
        <v>144</v>
      </c>
      <c r="G2" s="172"/>
      <c r="H2" s="173" t="s">
        <v>47</v>
      </c>
      <c r="I2" s="172"/>
      <c r="J2" s="173" t="s">
        <v>47</v>
      </c>
      <c r="K2" s="172"/>
      <c r="L2" s="173" t="s">
        <v>47</v>
      </c>
      <c r="M2" s="172"/>
      <c r="N2" s="174" t="s">
        <v>47</v>
      </c>
      <c r="O2" s="172"/>
      <c r="P2" s="174" t="s">
        <v>47</v>
      </c>
      <c r="Q2" s="175"/>
    </row>
    <row r="3" spans="1:17" ht="13.5" thickBot="1" x14ac:dyDescent="0.35">
      <c r="A3" s="176"/>
      <c r="B3" s="327" t="s">
        <v>140</v>
      </c>
      <c r="C3" s="328"/>
      <c r="D3" s="329"/>
      <c r="E3" s="177"/>
      <c r="F3" s="177"/>
      <c r="G3" s="177"/>
      <c r="H3" s="177"/>
      <c r="I3" s="177"/>
      <c r="J3" s="177"/>
      <c r="K3" s="177"/>
      <c r="L3" s="177"/>
      <c r="M3" s="177"/>
      <c r="N3" s="178"/>
      <c r="O3" s="177"/>
      <c r="P3" s="178"/>
      <c r="Q3" s="175"/>
    </row>
    <row r="4" spans="1:17" x14ac:dyDescent="0.3">
      <c r="A4" s="455" t="s">
        <v>17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7"/>
      <c r="O4" s="456"/>
      <c r="P4" s="457"/>
      <c r="Q4" s="179"/>
    </row>
    <row r="5" spans="1:17" ht="13.5" thickBot="1" x14ac:dyDescent="0.35">
      <c r="A5" s="453"/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8"/>
      <c r="O5" s="454"/>
      <c r="P5" s="458"/>
      <c r="Q5" s="179"/>
    </row>
    <row r="6" spans="1:17" x14ac:dyDescent="0.3">
      <c r="A6" s="483"/>
      <c r="B6" s="470"/>
      <c r="C6" s="470"/>
      <c r="D6" s="470"/>
      <c r="E6" s="470"/>
      <c r="F6" s="479"/>
      <c r="G6" s="470"/>
      <c r="H6" s="479"/>
      <c r="I6" s="470"/>
      <c r="J6" s="479"/>
      <c r="K6" s="470"/>
      <c r="L6" s="479"/>
      <c r="M6" s="470"/>
      <c r="N6" s="471"/>
      <c r="O6" s="470"/>
      <c r="P6" s="471"/>
      <c r="Q6" s="181"/>
    </row>
    <row r="7" spans="1:17" x14ac:dyDescent="0.3">
      <c r="A7" s="182" t="s">
        <v>12</v>
      </c>
      <c r="B7" s="183" t="s">
        <v>18</v>
      </c>
      <c r="C7" s="184" t="s">
        <v>6</v>
      </c>
      <c r="D7" s="185">
        <v>1</v>
      </c>
      <c r="E7" s="185"/>
      <c r="F7" s="186"/>
      <c r="G7" s="187">
        <v>6266265</v>
      </c>
      <c r="H7" s="188">
        <f>G7*D7</f>
        <v>6266265</v>
      </c>
      <c r="I7" s="187">
        <v>2976190</v>
      </c>
      <c r="J7" s="188">
        <f>I7*D7</f>
        <v>2976190</v>
      </c>
      <c r="K7" s="185">
        <v>100000</v>
      </c>
      <c r="L7" s="186">
        <f>K7*D7</f>
        <v>100000</v>
      </c>
      <c r="M7" s="185">
        <v>1300000</v>
      </c>
      <c r="N7" s="185">
        <f>M7*D7</f>
        <v>1300000</v>
      </c>
      <c r="O7" s="214" t="e">
        <f>(#REF!/E7)-1</f>
        <v>#REF!</v>
      </c>
      <c r="P7" s="189" t="e">
        <f>(#REF!/F7)-1</f>
        <v>#REF!</v>
      </c>
      <c r="Q7" s="190"/>
    </row>
    <row r="8" spans="1:17" x14ac:dyDescent="0.3">
      <c r="A8" s="192"/>
      <c r="B8" s="193"/>
      <c r="C8" s="193"/>
      <c r="D8" s="193"/>
      <c r="E8" s="193"/>
      <c r="F8" s="194"/>
      <c r="G8" s="193"/>
      <c r="H8" s="186"/>
      <c r="I8" s="193"/>
      <c r="J8" s="186"/>
      <c r="K8" s="193"/>
      <c r="L8" s="186"/>
      <c r="M8" s="193"/>
      <c r="N8" s="185"/>
      <c r="O8" s="319"/>
      <c r="P8" s="185"/>
      <c r="Q8" s="195"/>
    </row>
    <row r="9" spans="1:17" x14ac:dyDescent="0.3">
      <c r="A9" s="182" t="s">
        <v>13</v>
      </c>
      <c r="B9" s="183" t="s">
        <v>25</v>
      </c>
      <c r="C9" s="184" t="s">
        <v>58</v>
      </c>
      <c r="D9" s="185">
        <v>180</v>
      </c>
      <c r="E9" s="185"/>
      <c r="F9" s="186"/>
      <c r="G9" s="187">
        <v>1219</v>
      </c>
      <c r="H9" s="188">
        <f>G9*D9</f>
        <v>219420</v>
      </c>
      <c r="I9" s="187">
        <v>11905</v>
      </c>
      <c r="J9" s="188">
        <f>I9*D9</f>
        <v>2142900</v>
      </c>
      <c r="K9" s="185">
        <v>1000</v>
      </c>
      <c r="L9" s="186">
        <f>K9*D9</f>
        <v>180000</v>
      </c>
      <c r="M9" s="185">
        <v>10000</v>
      </c>
      <c r="N9" s="185">
        <f>M9*D9</f>
        <v>1800000</v>
      </c>
      <c r="O9" s="214" t="e">
        <f>(#REF!/E9)-1</f>
        <v>#REF!</v>
      </c>
      <c r="P9" s="189" t="e">
        <f>(#REF!/F9)-1</f>
        <v>#REF!</v>
      </c>
      <c r="Q9" s="190"/>
    </row>
    <row r="10" spans="1:17" x14ac:dyDescent="0.3">
      <c r="A10" s="192"/>
      <c r="B10" s="193"/>
      <c r="C10" s="193"/>
      <c r="D10" s="193"/>
      <c r="E10" s="196"/>
      <c r="F10" s="194"/>
      <c r="G10" s="196"/>
      <c r="H10" s="186"/>
      <c r="I10" s="196"/>
      <c r="J10" s="186"/>
      <c r="K10" s="196"/>
      <c r="L10" s="186"/>
      <c r="M10" s="196"/>
      <c r="N10" s="185"/>
      <c r="O10" s="208"/>
      <c r="P10" s="185"/>
      <c r="Q10" s="195"/>
    </row>
    <row r="11" spans="1:17" x14ac:dyDescent="0.3">
      <c r="A11" s="197" t="s">
        <v>20</v>
      </c>
      <c r="B11" s="198" t="s">
        <v>16</v>
      </c>
      <c r="C11" s="184" t="s">
        <v>6</v>
      </c>
      <c r="D11" s="185">
        <v>1</v>
      </c>
      <c r="E11" s="185"/>
      <c r="F11" s="186"/>
      <c r="G11" s="187">
        <v>255969</v>
      </c>
      <c r="H11" s="188">
        <f>G11*D11</f>
        <v>255969</v>
      </c>
      <c r="I11" s="187">
        <v>547619</v>
      </c>
      <c r="J11" s="188">
        <f>I11*D11</f>
        <v>547619</v>
      </c>
      <c r="K11" s="185">
        <v>350000</v>
      </c>
      <c r="L11" s="186">
        <f>K11*D11</f>
        <v>350000</v>
      </c>
      <c r="M11" s="185">
        <v>300000</v>
      </c>
      <c r="N11" s="185">
        <f>M11*D11</f>
        <v>300000</v>
      </c>
      <c r="O11" s="214" t="e">
        <f>(#REF!/E11)-1</f>
        <v>#REF!</v>
      </c>
      <c r="P11" s="189" t="e">
        <f>(#REF!/F11)-1</f>
        <v>#REF!</v>
      </c>
      <c r="Q11" s="190"/>
    </row>
    <row r="12" spans="1:17" x14ac:dyDescent="0.3">
      <c r="A12" s="192"/>
      <c r="B12" s="193"/>
      <c r="C12" s="193"/>
      <c r="D12" s="193"/>
      <c r="E12" s="193"/>
      <c r="F12" s="194"/>
      <c r="G12" s="193"/>
      <c r="H12" s="186"/>
      <c r="I12" s="193"/>
      <c r="J12" s="186"/>
      <c r="K12" s="193"/>
      <c r="L12" s="186"/>
      <c r="M12" s="193"/>
      <c r="N12" s="185"/>
      <c r="O12" s="208"/>
      <c r="P12" s="185"/>
      <c r="Q12" s="195"/>
    </row>
    <row r="13" spans="1:17" ht="26" x14ac:dyDescent="0.3">
      <c r="A13" s="182" t="s">
        <v>19</v>
      </c>
      <c r="B13" s="199" t="s">
        <v>87</v>
      </c>
      <c r="C13" s="184" t="s">
        <v>6</v>
      </c>
      <c r="D13" s="185">
        <v>1</v>
      </c>
      <c r="E13" s="185"/>
      <c r="F13" s="186"/>
      <c r="G13" s="187">
        <v>365670</v>
      </c>
      <c r="H13" s="188">
        <f>G13*D13</f>
        <v>365670</v>
      </c>
      <c r="I13" s="187">
        <v>714286</v>
      </c>
      <c r="J13" s="188">
        <f>I13*D13</f>
        <v>714286</v>
      </c>
      <c r="K13" s="185">
        <v>600000</v>
      </c>
      <c r="L13" s="186">
        <f>K13*D13</f>
        <v>600000</v>
      </c>
      <c r="M13" s="185">
        <v>500000</v>
      </c>
      <c r="N13" s="185">
        <f>M13*D13</f>
        <v>500000</v>
      </c>
      <c r="O13" s="214" t="e">
        <f>(#REF!/E13)-1</f>
        <v>#REF!</v>
      </c>
      <c r="P13" s="189" t="e">
        <f>(#REF!/F13)-1</f>
        <v>#REF!</v>
      </c>
      <c r="Q13" s="190"/>
    </row>
    <row r="14" spans="1:17" ht="13.5" thickBot="1" x14ac:dyDescent="0.35">
      <c r="A14" s="487"/>
      <c r="B14" s="481"/>
      <c r="C14" s="481"/>
      <c r="D14" s="481"/>
      <c r="E14" s="481"/>
      <c r="F14" s="488"/>
      <c r="G14" s="481"/>
      <c r="H14" s="488"/>
      <c r="I14" s="481"/>
      <c r="J14" s="488"/>
      <c r="K14" s="481"/>
      <c r="L14" s="488"/>
      <c r="M14" s="481"/>
      <c r="N14" s="482"/>
      <c r="O14" s="481"/>
      <c r="P14" s="482"/>
      <c r="Q14" s="181"/>
    </row>
    <row r="15" spans="1:17" ht="13.5" thickBot="1" x14ac:dyDescent="0.35">
      <c r="A15" s="472" t="s">
        <v>9</v>
      </c>
      <c r="B15" s="484"/>
      <c r="C15" s="484"/>
      <c r="D15" s="484"/>
      <c r="E15" s="485"/>
      <c r="F15" s="201"/>
      <c r="G15" s="202"/>
      <c r="H15" s="201">
        <f>SUM(H7:H13)</f>
        <v>7107324</v>
      </c>
      <c r="I15" s="202"/>
      <c r="J15" s="201">
        <f>SUM(J7:J13)</f>
        <v>6380995</v>
      </c>
      <c r="K15" s="202"/>
      <c r="L15" s="201">
        <f>SUM(L7:L13)</f>
        <v>1230000</v>
      </c>
      <c r="M15" s="202"/>
      <c r="N15" s="203">
        <f>SUM(N7:N13)</f>
        <v>3900000</v>
      </c>
      <c r="O15" s="204"/>
      <c r="P15" s="205" t="e">
        <f>(#REF!/F15)-1</f>
        <v>#REF!</v>
      </c>
      <c r="Q15" s="190"/>
    </row>
    <row r="16" spans="1:17" ht="13.5" thickBot="1" x14ac:dyDescent="0.35">
      <c r="A16" s="486"/>
      <c r="B16" s="467"/>
      <c r="C16" s="467"/>
      <c r="D16" s="467"/>
      <c r="E16" s="467"/>
      <c r="F16" s="468"/>
      <c r="G16" s="467"/>
      <c r="H16" s="468"/>
      <c r="I16" s="467"/>
      <c r="J16" s="468"/>
      <c r="K16" s="467"/>
      <c r="L16" s="468"/>
      <c r="M16" s="467"/>
      <c r="N16" s="469"/>
      <c r="O16" s="467"/>
      <c r="P16" s="469"/>
      <c r="Q16" s="181"/>
    </row>
    <row r="17" spans="1:19" x14ac:dyDescent="0.3">
      <c r="A17" s="455" t="s">
        <v>48</v>
      </c>
      <c r="B17" s="456"/>
      <c r="C17" s="456"/>
      <c r="D17" s="456"/>
      <c r="E17" s="456"/>
      <c r="F17" s="456"/>
      <c r="G17" s="456"/>
      <c r="H17" s="456"/>
      <c r="I17" s="456"/>
      <c r="J17" s="456"/>
      <c r="K17" s="456"/>
      <c r="L17" s="456"/>
      <c r="M17" s="456"/>
      <c r="N17" s="457"/>
      <c r="O17" s="456"/>
      <c r="P17" s="457"/>
      <c r="Q17" s="179"/>
    </row>
    <row r="18" spans="1:19" ht="13.5" thickBot="1" x14ac:dyDescent="0.35">
      <c r="A18" s="453"/>
      <c r="B18" s="454"/>
      <c r="C18" s="454"/>
      <c r="D18" s="454"/>
      <c r="E18" s="454"/>
      <c r="F18" s="454"/>
      <c r="G18" s="454"/>
      <c r="H18" s="454"/>
      <c r="I18" s="454"/>
      <c r="J18" s="454"/>
      <c r="K18" s="454"/>
      <c r="L18" s="454"/>
      <c r="M18" s="454"/>
      <c r="N18" s="458"/>
      <c r="O18" s="454"/>
      <c r="P18" s="458"/>
      <c r="Q18" s="179"/>
    </row>
    <row r="19" spans="1:19" x14ac:dyDescent="0.3">
      <c r="A19" s="478"/>
      <c r="B19" s="470"/>
      <c r="C19" s="470"/>
      <c r="D19" s="470"/>
      <c r="E19" s="470"/>
      <c r="F19" s="479"/>
      <c r="G19" s="470"/>
      <c r="H19" s="479"/>
      <c r="I19" s="470"/>
      <c r="J19" s="470"/>
      <c r="K19" s="480"/>
      <c r="L19" s="468"/>
      <c r="M19" s="470"/>
      <c r="N19" s="471"/>
      <c r="O19" s="470"/>
      <c r="P19" s="471"/>
      <c r="Q19" s="181"/>
    </row>
    <row r="20" spans="1:19" x14ac:dyDescent="0.3">
      <c r="A20" s="182" t="s">
        <v>27</v>
      </c>
      <c r="B20" s="183" t="s">
        <v>49</v>
      </c>
      <c r="C20" s="184"/>
      <c r="D20" s="185"/>
      <c r="E20" s="185"/>
      <c r="F20" s="185"/>
      <c r="G20" s="185"/>
      <c r="H20" s="185"/>
      <c r="I20" s="185"/>
      <c r="J20" s="206"/>
      <c r="K20" s="207"/>
      <c r="L20" s="186"/>
      <c r="M20" s="208"/>
      <c r="N20" s="185"/>
      <c r="O20" s="209" t="e">
        <f>(#REF!/E20)-1</f>
        <v>#REF!</v>
      </c>
      <c r="P20" s="210" t="e">
        <f>(#REF!/F20)-1</f>
        <v>#REF!</v>
      </c>
      <c r="Q20" s="190"/>
    </row>
    <row r="21" spans="1:19" ht="26" x14ac:dyDescent="0.3">
      <c r="A21" s="184" t="s">
        <v>117</v>
      </c>
      <c r="B21" s="211" t="s">
        <v>114</v>
      </c>
      <c r="C21" s="184" t="s">
        <v>54</v>
      </c>
      <c r="D21" s="212">
        <v>99</v>
      </c>
      <c r="E21" s="185"/>
      <c r="F21" s="186"/>
      <c r="G21" s="187">
        <v>18284</v>
      </c>
      <c r="H21" s="188">
        <f>G21*D21</f>
        <v>1810116</v>
      </c>
      <c r="I21" s="187">
        <v>10714</v>
      </c>
      <c r="J21" s="213">
        <f>I21*D21</f>
        <v>1060686</v>
      </c>
      <c r="K21" s="207">
        <v>6000</v>
      </c>
      <c r="L21" s="186">
        <f>K21*D21</f>
        <v>594000</v>
      </c>
      <c r="M21" s="208">
        <v>11000</v>
      </c>
      <c r="N21" s="185">
        <f>M21*D21</f>
        <v>1089000</v>
      </c>
      <c r="O21" s="214" t="e">
        <f>(#REF!/E21)-1</f>
        <v>#REF!</v>
      </c>
      <c r="P21" s="189" t="e">
        <f>(#REF!/F21)-1</f>
        <v>#REF!</v>
      </c>
      <c r="Q21" s="190"/>
      <c r="R21" s="215"/>
      <c r="S21" s="215"/>
    </row>
    <row r="22" spans="1:19" ht="26" x14ac:dyDescent="0.3">
      <c r="A22" s="184" t="s">
        <v>116</v>
      </c>
      <c r="B22" s="211" t="s">
        <v>115</v>
      </c>
      <c r="C22" s="184" t="s">
        <v>54</v>
      </c>
      <c r="D22" s="212">
        <v>19</v>
      </c>
      <c r="E22" s="185"/>
      <c r="F22" s="186"/>
      <c r="G22" s="187">
        <v>18284</v>
      </c>
      <c r="H22" s="188">
        <f>G22*D22</f>
        <v>347396</v>
      </c>
      <c r="I22" s="187">
        <v>10714</v>
      </c>
      <c r="J22" s="213">
        <f>I22*D22</f>
        <v>203566</v>
      </c>
      <c r="K22" s="207">
        <v>6000</v>
      </c>
      <c r="L22" s="186">
        <f>K22*D22</f>
        <v>114000</v>
      </c>
      <c r="M22" s="208">
        <v>11000</v>
      </c>
      <c r="N22" s="185">
        <f>M22*D22</f>
        <v>209000</v>
      </c>
      <c r="O22" s="214" t="e">
        <f>(#REF!/E22)-1</f>
        <v>#REF!</v>
      </c>
      <c r="P22" s="189" t="e">
        <f>(#REF!/F22)-1</f>
        <v>#REF!</v>
      </c>
      <c r="Q22" s="190"/>
      <c r="R22" s="215"/>
      <c r="S22" s="215"/>
    </row>
    <row r="23" spans="1:19" x14ac:dyDescent="0.3">
      <c r="A23" s="184" t="s">
        <v>118</v>
      </c>
      <c r="B23" s="216" t="s">
        <v>138</v>
      </c>
      <c r="C23" s="184" t="s">
        <v>6</v>
      </c>
      <c r="D23" s="185">
        <v>1</v>
      </c>
      <c r="E23" s="185"/>
      <c r="F23" s="186"/>
      <c r="G23" s="217">
        <v>200000</v>
      </c>
      <c r="H23" s="218">
        <f>G23*D23</f>
        <v>200000</v>
      </c>
      <c r="I23" s="217">
        <v>200000</v>
      </c>
      <c r="J23" s="219">
        <f t="shared" ref="J23:J25" si="0">I23*D23</f>
        <v>200000</v>
      </c>
      <c r="K23" s="207">
        <v>200000</v>
      </c>
      <c r="L23" s="186">
        <f>K23*D23</f>
        <v>200000</v>
      </c>
      <c r="M23" s="208">
        <v>200000</v>
      </c>
      <c r="N23" s="185">
        <f>M23*D23</f>
        <v>200000</v>
      </c>
      <c r="O23" s="220" t="e">
        <f>(#REF!/E23)-1</f>
        <v>#REF!</v>
      </c>
      <c r="P23" s="221" t="e">
        <f>(#REF!/F23)-1</f>
        <v>#REF!</v>
      </c>
      <c r="Q23" s="190"/>
      <c r="R23" s="215"/>
      <c r="S23" s="215"/>
    </row>
    <row r="24" spans="1:19" s="222" customFormat="1" x14ac:dyDescent="0.25">
      <c r="A24" s="184" t="s">
        <v>119</v>
      </c>
      <c r="B24" s="216" t="s">
        <v>139</v>
      </c>
      <c r="C24" s="184" t="s">
        <v>6</v>
      </c>
      <c r="D24" s="185">
        <v>1</v>
      </c>
      <c r="E24" s="185"/>
      <c r="F24" s="186"/>
      <c r="G24" s="185">
        <v>135000</v>
      </c>
      <c r="H24" s="186">
        <f>G22*D24</f>
        <v>18284</v>
      </c>
      <c r="I24" s="185">
        <v>135000</v>
      </c>
      <c r="J24" s="206">
        <f t="shared" ref="J24" si="1">I24*D24</f>
        <v>135000</v>
      </c>
      <c r="K24" s="207">
        <v>135000</v>
      </c>
      <c r="L24" s="186">
        <f>K24*D24</f>
        <v>135000</v>
      </c>
      <c r="M24" s="208">
        <v>135000</v>
      </c>
      <c r="N24" s="185">
        <f>M24*D24</f>
        <v>135000</v>
      </c>
      <c r="O24" s="146" t="e">
        <f>(#REF!/E24)-1</f>
        <v>#REF!</v>
      </c>
      <c r="P24" s="1" t="e">
        <f>(#REF!/F24)-1</f>
        <v>#REF!</v>
      </c>
      <c r="Q24" s="190"/>
    </row>
    <row r="25" spans="1:19" s="222" customFormat="1" x14ac:dyDescent="0.25">
      <c r="A25" s="184" t="s">
        <v>132</v>
      </c>
      <c r="B25" s="216" t="s">
        <v>133</v>
      </c>
      <c r="C25" s="184" t="s">
        <v>8</v>
      </c>
      <c r="D25" s="185">
        <v>50</v>
      </c>
      <c r="E25" s="185"/>
      <c r="F25" s="186"/>
      <c r="G25" s="185">
        <v>135000</v>
      </c>
      <c r="H25" s="186">
        <f>G23*D25</f>
        <v>10000000</v>
      </c>
      <c r="I25" s="185">
        <v>135000</v>
      </c>
      <c r="J25" s="206">
        <f t="shared" si="0"/>
        <v>6750000</v>
      </c>
      <c r="K25" s="207">
        <v>135000</v>
      </c>
      <c r="L25" s="186">
        <f>K25*D25</f>
        <v>6750000</v>
      </c>
      <c r="M25" s="208">
        <v>135000</v>
      </c>
      <c r="N25" s="185">
        <f>M25*D25</f>
        <v>6750000</v>
      </c>
      <c r="O25" s="146" t="e">
        <f>(#REF!/E25)-1</f>
        <v>#REF!</v>
      </c>
      <c r="P25" s="1" t="e">
        <f>(#REF!/F25)-1</f>
        <v>#REF!</v>
      </c>
      <c r="Q25" s="190"/>
    </row>
    <row r="26" spans="1:19" x14ac:dyDescent="0.3">
      <c r="A26" s="192"/>
      <c r="B26" s="193"/>
      <c r="C26" s="193"/>
      <c r="D26" s="193"/>
      <c r="E26" s="193"/>
      <c r="F26" s="194"/>
      <c r="G26" s="193"/>
      <c r="H26" s="186"/>
      <c r="I26" s="193"/>
      <c r="J26" s="206"/>
      <c r="K26" s="223"/>
      <c r="L26" s="186"/>
      <c r="M26" s="193"/>
      <c r="N26" s="185"/>
      <c r="O26" s="209"/>
      <c r="P26" s="210"/>
      <c r="Q26" s="190"/>
      <c r="R26" s="180"/>
      <c r="S26" s="180"/>
    </row>
    <row r="27" spans="1:19" x14ac:dyDescent="0.3">
      <c r="A27" s="182" t="s">
        <v>28</v>
      </c>
      <c r="B27" s="183" t="s">
        <v>46</v>
      </c>
      <c r="C27" s="184"/>
      <c r="D27" s="185"/>
      <c r="E27" s="185"/>
      <c r="F27" s="185"/>
      <c r="G27" s="185"/>
      <c r="H27" s="185"/>
      <c r="I27" s="185"/>
      <c r="J27" s="206"/>
      <c r="K27" s="207"/>
      <c r="L27" s="186"/>
      <c r="M27" s="208"/>
      <c r="N27" s="185"/>
      <c r="O27" s="209" t="e">
        <f>(#REF!/E27)-1</f>
        <v>#REF!</v>
      </c>
      <c r="P27" s="210" t="e">
        <f>(#REF!/F27)-1</f>
        <v>#REF!</v>
      </c>
      <c r="Q27" s="190"/>
      <c r="R27" s="215"/>
      <c r="S27" s="215"/>
    </row>
    <row r="28" spans="1:19" ht="26" x14ac:dyDescent="0.3">
      <c r="A28" s="184" t="s">
        <v>31</v>
      </c>
      <c r="B28" s="211" t="s">
        <v>120</v>
      </c>
      <c r="C28" s="184" t="s">
        <v>6</v>
      </c>
      <c r="D28" s="185">
        <v>1</v>
      </c>
      <c r="E28" s="185"/>
      <c r="F28" s="186"/>
      <c r="G28" s="187">
        <v>609450</v>
      </c>
      <c r="H28" s="188">
        <f t="shared" ref="H28" si="2">G28*D28</f>
        <v>609450</v>
      </c>
      <c r="I28" s="187">
        <v>452381</v>
      </c>
      <c r="J28" s="213">
        <f t="shared" ref="J28" si="3">I28*D28</f>
        <v>452381</v>
      </c>
      <c r="K28" s="207">
        <v>1000000</v>
      </c>
      <c r="L28" s="186">
        <f t="shared" ref="L28" si="4">K28*D28</f>
        <v>1000000</v>
      </c>
      <c r="M28" s="208">
        <f>N29*0.2</f>
        <v>462000</v>
      </c>
      <c r="N28" s="185">
        <f>M28*D28</f>
        <v>462000</v>
      </c>
      <c r="O28" s="214" t="e">
        <f>(#REF!/E28)-1</f>
        <v>#REF!</v>
      </c>
      <c r="P28" s="189" t="e">
        <f>(#REF!/F28)-1</f>
        <v>#REF!</v>
      </c>
      <c r="Q28" s="190"/>
      <c r="R28" s="215"/>
      <c r="S28" s="215"/>
    </row>
    <row r="29" spans="1:19" x14ac:dyDescent="0.3">
      <c r="A29" s="184" t="s">
        <v>31</v>
      </c>
      <c r="B29" s="211" t="s">
        <v>121</v>
      </c>
      <c r="C29" s="184" t="s">
        <v>6</v>
      </c>
      <c r="D29" s="185">
        <v>1</v>
      </c>
      <c r="E29" s="185"/>
      <c r="F29" s="186"/>
      <c r="G29" s="187">
        <v>609450</v>
      </c>
      <c r="H29" s="188">
        <f t="shared" ref="H29:H35" si="5">G29*D29</f>
        <v>609450</v>
      </c>
      <c r="I29" s="187">
        <v>452381</v>
      </c>
      <c r="J29" s="213">
        <f t="shared" ref="J29:J35" si="6">I29*D29</f>
        <v>452381</v>
      </c>
      <c r="K29" s="207">
        <v>1000000</v>
      </c>
      <c r="L29" s="186">
        <f t="shared" ref="L29:L35" si="7">K29*D29</f>
        <v>1000000</v>
      </c>
      <c r="M29" s="208">
        <f>N30*0.2</f>
        <v>2310000</v>
      </c>
      <c r="N29" s="185">
        <f>M29*D29</f>
        <v>2310000</v>
      </c>
      <c r="O29" s="214" t="e">
        <f>(#REF!/E29)-1</f>
        <v>#REF!</v>
      </c>
      <c r="P29" s="189" t="e">
        <f>(#REF!/F29)-1</f>
        <v>#REF!</v>
      </c>
      <c r="Q29" s="190"/>
      <c r="R29" s="215"/>
      <c r="S29" s="215"/>
    </row>
    <row r="30" spans="1:19" ht="26" x14ac:dyDescent="0.3">
      <c r="A30" s="184" t="s">
        <v>34</v>
      </c>
      <c r="B30" s="211" t="s">
        <v>122</v>
      </c>
      <c r="C30" s="184" t="s">
        <v>7</v>
      </c>
      <c r="D30" s="185">
        <v>330</v>
      </c>
      <c r="E30" s="185"/>
      <c r="F30" s="186"/>
      <c r="G30" s="187">
        <v>24378</v>
      </c>
      <c r="H30" s="188">
        <f t="shared" si="5"/>
        <v>8044740</v>
      </c>
      <c r="I30" s="187">
        <v>33333</v>
      </c>
      <c r="J30" s="213">
        <f t="shared" si="6"/>
        <v>10999890</v>
      </c>
      <c r="K30" s="207">
        <v>26800</v>
      </c>
      <c r="L30" s="186">
        <f t="shared" si="7"/>
        <v>8844000</v>
      </c>
      <c r="M30" s="208">
        <v>35000</v>
      </c>
      <c r="N30" s="185">
        <f>M30*D30</f>
        <v>11550000</v>
      </c>
      <c r="O30" s="214" t="e">
        <f>(#REF!/E30)-1</f>
        <v>#REF!</v>
      </c>
      <c r="P30" s="189" t="e">
        <f>(#REF!/F30)-1</f>
        <v>#REF!</v>
      </c>
      <c r="Q30" s="190"/>
      <c r="R30" s="215"/>
      <c r="S30" s="215"/>
    </row>
    <row r="31" spans="1:19" ht="26" x14ac:dyDescent="0.3">
      <c r="A31" s="184" t="s">
        <v>34</v>
      </c>
      <c r="B31" s="211" t="s">
        <v>123</v>
      </c>
      <c r="C31" s="184" t="s">
        <v>7</v>
      </c>
      <c r="D31" s="185">
        <v>63</v>
      </c>
      <c r="E31" s="185"/>
      <c r="F31" s="186"/>
      <c r="G31" s="187">
        <v>24378</v>
      </c>
      <c r="H31" s="188">
        <f t="shared" si="5"/>
        <v>1535814</v>
      </c>
      <c r="I31" s="187">
        <v>33333</v>
      </c>
      <c r="J31" s="213">
        <f t="shared" si="6"/>
        <v>2099979</v>
      </c>
      <c r="K31" s="207">
        <v>26800</v>
      </c>
      <c r="L31" s="186">
        <f t="shared" si="7"/>
        <v>1688400</v>
      </c>
      <c r="M31" s="208">
        <v>35000</v>
      </c>
      <c r="N31" s="185">
        <f>M31*D31</f>
        <v>2205000</v>
      </c>
      <c r="O31" s="214" t="e">
        <f>(#REF!/E31)-1</f>
        <v>#REF!</v>
      </c>
      <c r="P31" s="189" t="e">
        <f>(#REF!/F31)-1</f>
        <v>#REF!</v>
      </c>
      <c r="Q31" s="190"/>
      <c r="R31" s="215"/>
      <c r="S31" s="215"/>
    </row>
    <row r="32" spans="1:19" x14ac:dyDescent="0.3">
      <c r="A32" s="192"/>
      <c r="B32" s="193"/>
      <c r="C32" s="193"/>
      <c r="D32" s="193"/>
      <c r="E32" s="193"/>
      <c r="F32" s="186"/>
      <c r="G32" s="185"/>
      <c r="H32" s="186"/>
      <c r="I32" s="193"/>
      <c r="J32" s="206"/>
      <c r="K32" s="223"/>
      <c r="L32" s="186"/>
      <c r="M32" s="193"/>
      <c r="N32" s="185"/>
      <c r="O32" s="209"/>
      <c r="P32" s="210"/>
      <c r="Q32" s="190"/>
      <c r="R32" s="180"/>
      <c r="S32" s="215"/>
    </row>
    <row r="33" spans="1:19" x14ac:dyDescent="0.3">
      <c r="A33" s="182" t="s">
        <v>29</v>
      </c>
      <c r="B33" s="183" t="s">
        <v>35</v>
      </c>
      <c r="C33" s="184"/>
      <c r="D33" s="185"/>
      <c r="E33" s="185"/>
      <c r="F33" s="185"/>
      <c r="G33" s="185"/>
      <c r="H33" s="185"/>
      <c r="I33" s="185"/>
      <c r="J33" s="206"/>
      <c r="K33" s="207"/>
      <c r="L33" s="186"/>
      <c r="M33" s="208"/>
      <c r="N33" s="185"/>
      <c r="O33" s="209" t="e">
        <f>(#REF!/E33)-1</f>
        <v>#REF!</v>
      </c>
      <c r="P33" s="210" t="e">
        <f>(#REF!/F33)-1</f>
        <v>#REF!</v>
      </c>
      <c r="Q33" s="190"/>
      <c r="R33" s="215"/>
      <c r="S33" s="215"/>
    </row>
    <row r="34" spans="1:19" x14ac:dyDescent="0.3">
      <c r="A34" s="184" t="s">
        <v>63</v>
      </c>
      <c r="B34" s="224" t="s">
        <v>55</v>
      </c>
      <c r="C34" s="184" t="s">
        <v>8</v>
      </c>
      <c r="D34" s="185">
        <v>1</v>
      </c>
      <c r="E34" s="185"/>
      <c r="F34" s="186"/>
      <c r="G34" s="187">
        <v>18284</v>
      </c>
      <c r="H34" s="188">
        <f t="shared" si="5"/>
        <v>18284</v>
      </c>
      <c r="I34" s="187">
        <v>9524</v>
      </c>
      <c r="J34" s="213">
        <f t="shared" si="6"/>
        <v>9524</v>
      </c>
      <c r="K34" s="207">
        <v>6000</v>
      </c>
      <c r="L34" s="186">
        <f t="shared" si="7"/>
        <v>6000</v>
      </c>
      <c r="M34" s="208">
        <v>10000</v>
      </c>
      <c r="N34" s="185">
        <f>M34*D34</f>
        <v>10000</v>
      </c>
      <c r="O34" s="214" t="e">
        <f>(#REF!/E34)-1</f>
        <v>#REF!</v>
      </c>
      <c r="P34" s="189" t="e">
        <f>(#REF!/F34)-1</f>
        <v>#REF!</v>
      </c>
      <c r="Q34" s="190"/>
      <c r="R34" s="215"/>
      <c r="S34" s="215"/>
    </row>
    <row r="35" spans="1:19" s="310" customFormat="1" x14ac:dyDescent="0.3">
      <c r="A35" s="303" t="s">
        <v>64</v>
      </c>
      <c r="B35" s="304" t="s">
        <v>59</v>
      </c>
      <c r="C35" s="303" t="s">
        <v>8</v>
      </c>
      <c r="D35" s="247">
        <v>35</v>
      </c>
      <c r="E35" s="247"/>
      <c r="F35" s="305"/>
      <c r="G35" s="247">
        <v>9142</v>
      </c>
      <c r="H35" s="305">
        <f t="shared" si="5"/>
        <v>319970</v>
      </c>
      <c r="I35" s="247">
        <v>9524</v>
      </c>
      <c r="J35" s="306">
        <f t="shared" si="6"/>
        <v>333340</v>
      </c>
      <c r="K35" s="307">
        <v>6000</v>
      </c>
      <c r="L35" s="305">
        <f t="shared" si="7"/>
        <v>210000</v>
      </c>
      <c r="M35" s="308">
        <v>10000</v>
      </c>
      <c r="N35" s="247">
        <f>M35*D35</f>
        <v>350000</v>
      </c>
      <c r="O35" s="209" t="e">
        <f>(#REF!/E35)-1</f>
        <v>#REF!</v>
      </c>
      <c r="P35" s="210" t="e">
        <f>(#REF!/F35)-1</f>
        <v>#REF!</v>
      </c>
      <c r="Q35" s="309"/>
      <c r="R35" s="248"/>
      <c r="S35" s="248"/>
    </row>
    <row r="36" spans="1:19" ht="13.5" thickBot="1" x14ac:dyDescent="0.35">
      <c r="A36" s="225"/>
      <c r="B36" s="330"/>
      <c r="C36" s="226"/>
      <c r="D36" s="215"/>
      <c r="E36" s="215"/>
      <c r="F36" s="227"/>
      <c r="G36" s="215"/>
      <c r="H36" s="227"/>
      <c r="I36" s="215"/>
      <c r="J36" s="215"/>
      <c r="K36" s="228"/>
      <c r="L36" s="229"/>
      <c r="M36" s="215"/>
      <c r="N36" s="231"/>
      <c r="O36" s="215"/>
      <c r="P36" s="231"/>
      <c r="Q36" s="195"/>
    </row>
    <row r="37" spans="1:19" ht="13.5" thickBot="1" x14ac:dyDescent="0.35">
      <c r="A37" s="472" t="s">
        <v>26</v>
      </c>
      <c r="B37" s="473"/>
      <c r="C37" s="473"/>
      <c r="D37" s="473"/>
      <c r="E37" s="473"/>
      <c r="F37" s="201"/>
      <c r="G37" s="202"/>
      <c r="H37" s="201">
        <f>SUM(H22:H35)</f>
        <v>21703388</v>
      </c>
      <c r="I37" s="202"/>
      <c r="J37" s="201">
        <f>SUM(J22:J35)</f>
        <v>21636061</v>
      </c>
      <c r="K37" s="202"/>
      <c r="L37" s="201">
        <f>SUM(L22:L35)</f>
        <v>19947400</v>
      </c>
      <c r="M37" s="202"/>
      <c r="N37" s="203">
        <f>SUM(N22:N35)</f>
        <v>24181000</v>
      </c>
      <c r="O37" s="204"/>
      <c r="P37" s="205" t="e">
        <f>(#REF!/F37)-1</f>
        <v>#REF!</v>
      </c>
      <c r="Q37" s="190"/>
    </row>
    <row r="38" spans="1:19" ht="13.5" thickBot="1" x14ac:dyDescent="0.35">
      <c r="A38" s="474"/>
      <c r="B38" s="475"/>
      <c r="C38" s="475"/>
      <c r="D38" s="475"/>
      <c r="E38" s="475"/>
      <c r="F38" s="476"/>
      <c r="G38" s="475"/>
      <c r="H38" s="476"/>
      <c r="I38" s="475"/>
      <c r="J38" s="476"/>
      <c r="K38" s="475"/>
      <c r="L38" s="476"/>
      <c r="M38" s="475"/>
      <c r="N38" s="477"/>
      <c r="O38" s="475"/>
      <c r="P38" s="477"/>
      <c r="Q38" s="195"/>
    </row>
    <row r="39" spans="1:19" x14ac:dyDescent="0.3">
      <c r="A39" s="455" t="s">
        <v>36</v>
      </c>
      <c r="B39" s="456"/>
      <c r="C39" s="456"/>
      <c r="D39" s="456"/>
      <c r="E39" s="456"/>
      <c r="F39" s="456"/>
      <c r="G39" s="456"/>
      <c r="H39" s="456"/>
      <c r="I39" s="456"/>
      <c r="J39" s="456"/>
      <c r="K39" s="456"/>
      <c r="L39" s="456"/>
      <c r="M39" s="456"/>
      <c r="N39" s="457"/>
      <c r="O39" s="456"/>
      <c r="P39" s="457"/>
      <c r="Q39" s="179"/>
    </row>
    <row r="40" spans="1:19" ht="13.5" thickBot="1" x14ac:dyDescent="0.35">
      <c r="A40" s="453"/>
      <c r="B40" s="454"/>
      <c r="C40" s="454"/>
      <c r="D40" s="454"/>
      <c r="E40" s="454"/>
      <c r="F40" s="454"/>
      <c r="G40" s="454"/>
      <c r="H40" s="454"/>
      <c r="I40" s="454"/>
      <c r="J40" s="454"/>
      <c r="K40" s="454"/>
      <c r="L40" s="454"/>
      <c r="M40" s="454"/>
      <c r="N40" s="458"/>
      <c r="O40" s="454"/>
      <c r="P40" s="458"/>
      <c r="Q40" s="179"/>
    </row>
    <row r="41" spans="1:19" x14ac:dyDescent="0.3">
      <c r="A41" s="447"/>
      <c r="B41" s="429"/>
      <c r="C41" s="429"/>
      <c r="D41" s="429"/>
      <c r="E41" s="429"/>
      <c r="F41" s="448"/>
      <c r="G41" s="429"/>
      <c r="H41" s="448"/>
      <c r="I41" s="429"/>
      <c r="J41" s="429"/>
      <c r="K41" s="449"/>
      <c r="L41" s="450"/>
      <c r="M41" s="429"/>
      <c r="N41" s="430"/>
      <c r="O41" s="429"/>
      <c r="P41" s="430"/>
      <c r="Q41" s="181"/>
    </row>
    <row r="42" spans="1:19" x14ac:dyDescent="0.3">
      <c r="A42" s="182" t="s">
        <v>21</v>
      </c>
      <c r="B42" s="183" t="s">
        <v>65</v>
      </c>
      <c r="C42" s="184"/>
      <c r="D42" s="185"/>
      <c r="E42" s="185"/>
      <c r="F42" s="185"/>
      <c r="G42" s="185"/>
      <c r="H42" s="185"/>
      <c r="I42" s="185"/>
      <c r="J42" s="206"/>
      <c r="K42" s="207"/>
      <c r="L42" s="186"/>
      <c r="M42" s="208"/>
      <c r="N42" s="185"/>
      <c r="O42" s="208"/>
      <c r="P42" s="185"/>
      <c r="Q42" s="195"/>
      <c r="R42" s="215"/>
      <c r="S42" s="215"/>
    </row>
    <row r="43" spans="1:19" s="313" customFormat="1" x14ac:dyDescent="0.3">
      <c r="A43" s="303" t="s">
        <v>51</v>
      </c>
      <c r="B43" s="304" t="s">
        <v>83</v>
      </c>
      <c r="C43" s="303" t="s">
        <v>6</v>
      </c>
      <c r="D43" s="247">
        <v>1</v>
      </c>
      <c r="E43" s="247"/>
      <c r="F43" s="305"/>
      <c r="G43" s="247">
        <v>45000</v>
      </c>
      <c r="H43" s="305">
        <f>G43*D43</f>
        <v>45000</v>
      </c>
      <c r="I43" s="247">
        <v>45000</v>
      </c>
      <c r="J43" s="306">
        <f>I43*D43</f>
        <v>45000</v>
      </c>
      <c r="K43" s="307">
        <v>45000</v>
      </c>
      <c r="L43" s="305">
        <f>K43*D43</f>
        <v>45000</v>
      </c>
      <c r="M43" s="308">
        <v>45000</v>
      </c>
      <c r="N43" s="247">
        <f>M43*D43</f>
        <v>45000</v>
      </c>
      <c r="O43" s="311" t="e">
        <f>(#REF!/E43)-1</f>
        <v>#REF!</v>
      </c>
      <c r="P43" s="312" t="e">
        <f>(#REF!/F43)-1</f>
        <v>#REF!</v>
      </c>
      <c r="Q43" s="309"/>
      <c r="R43" s="314"/>
      <c r="S43" s="314"/>
    </row>
    <row r="44" spans="1:19" x14ac:dyDescent="0.3">
      <c r="A44" s="225"/>
      <c r="B44" s="330"/>
      <c r="C44" s="226"/>
      <c r="D44" s="215"/>
      <c r="E44" s="215"/>
      <c r="F44" s="227"/>
      <c r="G44" s="215"/>
      <c r="H44" s="186"/>
      <c r="I44" s="215"/>
      <c r="J44" s="206"/>
      <c r="K44" s="230"/>
      <c r="L44" s="186"/>
      <c r="M44" s="215"/>
      <c r="N44" s="185"/>
      <c r="O44" s="215"/>
      <c r="P44" s="185"/>
      <c r="Q44" s="195"/>
      <c r="R44" s="215"/>
      <c r="S44" s="215"/>
    </row>
    <row r="45" spans="1:19" x14ac:dyDescent="0.3">
      <c r="A45" s="182" t="s">
        <v>134</v>
      </c>
      <c r="B45" s="183" t="s">
        <v>37</v>
      </c>
      <c r="C45" s="184"/>
      <c r="D45" s="185"/>
      <c r="E45" s="185"/>
      <c r="F45" s="185"/>
      <c r="G45" s="185"/>
      <c r="H45" s="185"/>
      <c r="I45" s="185"/>
      <c r="J45" s="206"/>
      <c r="K45" s="207"/>
      <c r="L45" s="186"/>
      <c r="M45" s="208"/>
      <c r="N45" s="185"/>
      <c r="O45" s="208"/>
      <c r="P45" s="185"/>
      <c r="Q45" s="195"/>
      <c r="R45" s="215"/>
      <c r="S45" s="215"/>
    </row>
    <row r="46" spans="1:19" s="236" customFormat="1" x14ac:dyDescent="0.3">
      <c r="A46" s="184" t="s">
        <v>137</v>
      </c>
      <c r="B46" s="224" t="s">
        <v>113</v>
      </c>
      <c r="C46" s="184" t="s">
        <v>6</v>
      </c>
      <c r="D46" s="185">
        <v>1</v>
      </c>
      <c r="E46" s="185"/>
      <c r="F46" s="186"/>
      <c r="G46" s="185">
        <v>100000</v>
      </c>
      <c r="H46" s="186">
        <f>G46*D46</f>
        <v>100000</v>
      </c>
      <c r="I46" s="185">
        <v>100000</v>
      </c>
      <c r="J46" s="206">
        <f>I46*D46</f>
        <v>100000</v>
      </c>
      <c r="K46" s="207">
        <v>100000</v>
      </c>
      <c r="L46" s="186">
        <f>K46*D46</f>
        <v>100000</v>
      </c>
      <c r="M46" s="208">
        <v>100000</v>
      </c>
      <c r="N46" s="185">
        <f>M46*D46</f>
        <v>100000</v>
      </c>
      <c r="O46" s="234" t="e">
        <f>(#REF!/E46)-1</f>
        <v>#REF!</v>
      </c>
      <c r="P46" s="235" t="e">
        <f>(#REF!/F46)-1</f>
        <v>#REF!</v>
      </c>
      <c r="Q46" s="190"/>
      <c r="R46" s="237"/>
      <c r="S46" s="237"/>
    </row>
    <row r="47" spans="1:19" x14ac:dyDescent="0.3">
      <c r="A47" s="192"/>
      <c r="B47" s="238"/>
      <c r="C47" s="239"/>
      <c r="D47" s="240"/>
      <c r="E47" s="240"/>
      <c r="F47" s="241"/>
      <c r="G47" s="240"/>
      <c r="H47" s="186"/>
      <c r="I47" s="240"/>
      <c r="J47" s="206"/>
      <c r="K47" s="242"/>
      <c r="L47" s="186"/>
      <c r="M47" s="240"/>
      <c r="N47" s="185"/>
      <c r="O47" s="240"/>
      <c r="P47" s="185"/>
      <c r="Q47" s="195"/>
      <c r="R47" s="215"/>
      <c r="S47" s="215"/>
    </row>
    <row r="48" spans="1:19" x14ac:dyDescent="0.3">
      <c r="A48" s="182" t="s">
        <v>30</v>
      </c>
      <c r="B48" s="183" t="s">
        <v>60</v>
      </c>
      <c r="C48" s="184"/>
      <c r="D48" s="185"/>
      <c r="E48" s="185"/>
      <c r="F48" s="185"/>
      <c r="G48" s="185"/>
      <c r="H48" s="185"/>
      <c r="I48" s="185"/>
      <c r="J48" s="206"/>
      <c r="K48" s="207"/>
      <c r="L48" s="186"/>
      <c r="M48" s="208"/>
      <c r="N48" s="185"/>
      <c r="O48" s="243" t="e">
        <f>(#REF!/E48)-1</f>
        <v>#REF!</v>
      </c>
      <c r="P48" s="244" t="e">
        <f>(#REF!/F48)-1</f>
        <v>#REF!</v>
      </c>
      <c r="Q48" s="190"/>
      <c r="R48" s="215"/>
      <c r="S48" s="215"/>
    </row>
    <row r="49" spans="1:19" ht="26" x14ac:dyDescent="0.3">
      <c r="A49" s="184" t="s">
        <v>135</v>
      </c>
      <c r="B49" s="211" t="s">
        <v>127</v>
      </c>
      <c r="C49" s="184" t="s">
        <v>8</v>
      </c>
      <c r="D49" s="185">
        <v>17</v>
      </c>
      <c r="E49" s="185"/>
      <c r="F49" s="186"/>
      <c r="G49" s="185">
        <v>6704</v>
      </c>
      <c r="H49" s="186">
        <f>G49*D49</f>
        <v>113968</v>
      </c>
      <c r="I49" s="185">
        <v>9524</v>
      </c>
      <c r="J49" s="206">
        <f>I49*D49</f>
        <v>161908</v>
      </c>
      <c r="K49" s="207">
        <v>12000</v>
      </c>
      <c r="L49" s="186">
        <f>K49*D49</f>
        <v>204000</v>
      </c>
      <c r="M49" s="208">
        <v>16000</v>
      </c>
      <c r="N49" s="185">
        <f>M49*D49</f>
        <v>272000</v>
      </c>
      <c r="O49" s="243" t="e">
        <f>(#REF!/E49)-1</f>
        <v>#REF!</v>
      </c>
      <c r="P49" s="244" t="e">
        <f>(#REF!/F49)-1</f>
        <v>#REF!</v>
      </c>
      <c r="Q49" s="190"/>
      <c r="R49" s="215"/>
      <c r="S49" s="215"/>
    </row>
    <row r="50" spans="1:19" x14ac:dyDescent="0.3">
      <c r="A50" s="184" t="s">
        <v>136</v>
      </c>
      <c r="B50" s="216" t="s">
        <v>66</v>
      </c>
      <c r="C50" s="184" t="s">
        <v>10</v>
      </c>
      <c r="D50" s="185">
        <v>1</v>
      </c>
      <c r="E50" s="185"/>
      <c r="F50" s="186"/>
      <c r="G50" s="185">
        <v>115000</v>
      </c>
      <c r="H50" s="186">
        <f>G50*D50</f>
        <v>115000</v>
      </c>
      <c r="I50" s="185">
        <v>115000</v>
      </c>
      <c r="J50" s="206">
        <f>I50*D50</f>
        <v>115000</v>
      </c>
      <c r="K50" s="207">
        <v>115000</v>
      </c>
      <c r="L50" s="186">
        <f>K50*D50</f>
        <v>115000</v>
      </c>
      <c r="M50" s="208">
        <v>115000</v>
      </c>
      <c r="N50" s="185">
        <f>M50*D50</f>
        <v>115000</v>
      </c>
      <c r="O50" s="243" t="e">
        <f>(#REF!/E50)-1</f>
        <v>#REF!</v>
      </c>
      <c r="P50" s="244" t="e">
        <f>(#REF!/F50)-1</f>
        <v>#REF!</v>
      </c>
      <c r="Q50" s="190"/>
      <c r="R50" s="215"/>
      <c r="S50" s="215"/>
    </row>
    <row r="51" spans="1:19" x14ac:dyDescent="0.3">
      <c r="A51" s="245"/>
      <c r="B51" s="193"/>
      <c r="C51" s="193"/>
      <c r="D51" s="193"/>
      <c r="E51" s="193"/>
      <c r="F51" s="194"/>
      <c r="G51" s="193"/>
      <c r="H51" s="186"/>
      <c r="I51" s="193"/>
      <c r="J51" s="206"/>
      <c r="K51" s="223"/>
      <c r="L51" s="186"/>
      <c r="M51" s="193"/>
      <c r="N51" s="185"/>
      <c r="O51" s="193"/>
      <c r="P51" s="185"/>
      <c r="Q51" s="195"/>
    </row>
    <row r="52" spans="1:19" x14ac:dyDescent="0.3">
      <c r="A52" s="182" t="s">
        <v>22</v>
      </c>
      <c r="B52" s="183" t="s">
        <v>67</v>
      </c>
      <c r="C52" s="184"/>
      <c r="D52" s="185"/>
      <c r="E52" s="185"/>
      <c r="F52" s="185"/>
      <c r="G52" s="185"/>
      <c r="H52" s="185"/>
      <c r="I52" s="185"/>
      <c r="J52" s="206"/>
      <c r="K52" s="207"/>
      <c r="L52" s="186"/>
      <c r="M52" s="208"/>
      <c r="N52" s="185"/>
      <c r="O52" s="208"/>
      <c r="P52" s="185"/>
      <c r="Q52" s="195"/>
      <c r="R52" s="215"/>
      <c r="S52" s="215"/>
    </row>
    <row r="53" spans="1:19" x14ac:dyDescent="0.3">
      <c r="A53" s="184" t="s">
        <v>32</v>
      </c>
      <c r="B53" s="246" t="s">
        <v>81</v>
      </c>
      <c r="C53" s="184" t="s">
        <v>8</v>
      </c>
      <c r="D53" s="247">
        <v>10</v>
      </c>
      <c r="E53" s="185"/>
      <c r="F53" s="186"/>
      <c r="G53" s="217">
        <v>13000</v>
      </c>
      <c r="H53" s="218">
        <f>G53*D53</f>
        <v>130000</v>
      </c>
      <c r="I53" s="217">
        <v>13000</v>
      </c>
      <c r="J53" s="219">
        <f>I53*D53</f>
        <v>130000</v>
      </c>
      <c r="K53" s="207">
        <v>13000</v>
      </c>
      <c r="L53" s="186">
        <f>K53*D53</f>
        <v>130000</v>
      </c>
      <c r="M53" s="208">
        <v>13000</v>
      </c>
      <c r="N53" s="185">
        <f>M53*D53</f>
        <v>130000</v>
      </c>
      <c r="O53" s="220" t="e">
        <f>(#REF!/E53)-1</f>
        <v>#REF!</v>
      </c>
      <c r="P53" s="221" t="e">
        <f>(#REF!/F53)-1</f>
        <v>#REF!</v>
      </c>
      <c r="Q53" s="190"/>
      <c r="R53" s="215"/>
      <c r="S53" s="215"/>
    </row>
    <row r="54" spans="1:19" x14ac:dyDescent="0.3">
      <c r="A54" s="184" t="s">
        <v>38</v>
      </c>
      <c r="B54" s="216" t="s">
        <v>68</v>
      </c>
      <c r="C54" s="184" t="s">
        <v>10</v>
      </c>
      <c r="D54" s="185">
        <v>3</v>
      </c>
      <c r="E54" s="185"/>
      <c r="F54" s="186"/>
      <c r="G54" s="185">
        <v>115000</v>
      </c>
      <c r="H54" s="186">
        <f>G54*D54</f>
        <v>345000</v>
      </c>
      <c r="I54" s="185">
        <v>115000</v>
      </c>
      <c r="J54" s="206">
        <f>I54*D54</f>
        <v>345000</v>
      </c>
      <c r="K54" s="207">
        <v>115000</v>
      </c>
      <c r="L54" s="186">
        <f>K54*D54</f>
        <v>345000</v>
      </c>
      <c r="M54" s="208">
        <v>115000</v>
      </c>
      <c r="N54" s="185">
        <f>M54*D54</f>
        <v>345000</v>
      </c>
      <c r="O54" s="243" t="e">
        <f>(#REF!/E54)-1</f>
        <v>#REF!</v>
      </c>
      <c r="P54" s="244" t="e">
        <f>(#REF!/F54)-1</f>
        <v>#REF!</v>
      </c>
      <c r="Q54" s="190"/>
      <c r="R54" s="215"/>
      <c r="S54" s="215"/>
    </row>
    <row r="55" spans="1:19" x14ac:dyDescent="0.3">
      <c r="A55" s="184" t="s">
        <v>38</v>
      </c>
      <c r="B55" s="216" t="s">
        <v>69</v>
      </c>
      <c r="C55" s="184" t="s">
        <v>10</v>
      </c>
      <c r="D55" s="247">
        <v>1</v>
      </c>
      <c r="E55" s="185"/>
      <c r="F55" s="186"/>
      <c r="G55" s="217">
        <v>800000</v>
      </c>
      <c r="H55" s="218">
        <f>G55*D55</f>
        <v>800000</v>
      </c>
      <c r="I55" s="217">
        <v>800000</v>
      </c>
      <c r="J55" s="219">
        <f>I55*D55</f>
        <v>800000</v>
      </c>
      <c r="K55" s="207">
        <v>800000</v>
      </c>
      <c r="L55" s="186">
        <f>K55*D55</f>
        <v>800000</v>
      </c>
      <c r="M55" s="208">
        <v>800000</v>
      </c>
      <c r="N55" s="185">
        <f>M55*D55</f>
        <v>800000</v>
      </c>
      <c r="O55" s="220" t="e">
        <f>(#REF!/E55)-1</f>
        <v>#REF!</v>
      </c>
      <c r="P55" s="221" t="e">
        <f>(#REF!/F55)-1</f>
        <v>#REF!</v>
      </c>
      <c r="Q55" s="190"/>
      <c r="R55" s="215"/>
      <c r="S55" s="215"/>
    </row>
    <row r="56" spans="1:19" ht="13.5" thickBot="1" x14ac:dyDescent="0.35">
      <c r="A56" s="245"/>
      <c r="B56" s="193"/>
      <c r="C56" s="193"/>
      <c r="D56" s="193"/>
      <c r="E56" s="193"/>
      <c r="F56" s="194"/>
      <c r="G56" s="193"/>
      <c r="H56" s="194"/>
      <c r="I56" s="193"/>
      <c r="J56" s="193"/>
      <c r="K56" s="249"/>
      <c r="L56" s="200"/>
      <c r="M56" s="193"/>
      <c r="N56" s="250"/>
      <c r="O56" s="193"/>
      <c r="P56" s="250"/>
      <c r="Q56" s="181"/>
    </row>
    <row r="57" spans="1:19" ht="13.5" thickBot="1" x14ac:dyDescent="0.35">
      <c r="A57" s="435" t="s">
        <v>14</v>
      </c>
      <c r="B57" s="436"/>
      <c r="C57" s="436"/>
      <c r="D57" s="436"/>
      <c r="E57" s="437"/>
      <c r="F57" s="201"/>
      <c r="G57" s="251"/>
      <c r="H57" s="201">
        <f>SUM(H43:H55)</f>
        <v>1648968</v>
      </c>
      <c r="I57" s="251"/>
      <c r="J57" s="201">
        <f>SUM(J43:J55)</f>
        <v>1696908</v>
      </c>
      <c r="K57" s="251"/>
      <c r="L57" s="201">
        <f>SUM(L43:L55)</f>
        <v>1739000</v>
      </c>
      <c r="M57" s="251"/>
      <c r="N57" s="203">
        <f>SUM(N43:N55)</f>
        <v>1807000</v>
      </c>
      <c r="O57" s="202"/>
      <c r="P57" s="205" t="e">
        <f>(#REF!/F57)-1</f>
        <v>#REF!</v>
      </c>
      <c r="Q57" s="190"/>
    </row>
    <row r="58" spans="1:19" ht="13.5" thickBot="1" x14ac:dyDescent="0.35">
      <c r="A58" s="466"/>
      <c r="B58" s="467"/>
      <c r="C58" s="467"/>
      <c r="D58" s="467"/>
      <c r="E58" s="467"/>
      <c r="F58" s="468"/>
      <c r="G58" s="467"/>
      <c r="H58" s="468"/>
      <c r="I58" s="467"/>
      <c r="J58" s="468"/>
      <c r="K58" s="467"/>
      <c r="L58" s="468"/>
      <c r="M58" s="467"/>
      <c r="N58" s="469"/>
      <c r="O58" s="467"/>
      <c r="P58" s="469"/>
      <c r="Q58" s="181"/>
    </row>
    <row r="59" spans="1:19" x14ac:dyDescent="0.3">
      <c r="A59" s="455" t="s">
        <v>50</v>
      </c>
      <c r="B59" s="456"/>
      <c r="C59" s="456"/>
      <c r="D59" s="456"/>
      <c r="E59" s="456"/>
      <c r="F59" s="456"/>
      <c r="G59" s="456"/>
      <c r="H59" s="456"/>
      <c r="I59" s="456"/>
      <c r="J59" s="456"/>
      <c r="K59" s="456"/>
      <c r="L59" s="456"/>
      <c r="M59" s="456"/>
      <c r="N59" s="457"/>
      <c r="O59" s="456"/>
      <c r="P59" s="457"/>
      <c r="Q59" s="179"/>
    </row>
    <row r="60" spans="1:19" ht="13.5" thickBot="1" x14ac:dyDescent="0.35">
      <c r="A60" s="453"/>
      <c r="B60" s="454"/>
      <c r="C60" s="454"/>
      <c r="D60" s="454"/>
      <c r="E60" s="454"/>
      <c r="F60" s="454"/>
      <c r="G60" s="454"/>
      <c r="H60" s="454"/>
      <c r="I60" s="454"/>
      <c r="J60" s="454"/>
      <c r="K60" s="454"/>
      <c r="L60" s="454"/>
      <c r="M60" s="454"/>
      <c r="N60" s="458"/>
      <c r="O60" s="454"/>
      <c r="P60" s="458"/>
      <c r="Q60" s="179"/>
    </row>
    <row r="61" spans="1:19" x14ac:dyDescent="0.3">
      <c r="A61" s="447"/>
      <c r="B61" s="429"/>
      <c r="C61" s="429"/>
      <c r="D61" s="429"/>
      <c r="E61" s="429"/>
      <c r="F61" s="448"/>
      <c r="G61" s="429"/>
      <c r="H61" s="448"/>
      <c r="I61" s="429"/>
      <c r="J61" s="429"/>
      <c r="K61" s="449"/>
      <c r="L61" s="450"/>
      <c r="M61" s="429"/>
      <c r="N61" s="430"/>
      <c r="O61" s="429"/>
      <c r="P61" s="430"/>
      <c r="Q61" s="181"/>
      <c r="R61" s="215"/>
      <c r="S61" s="215"/>
    </row>
    <row r="62" spans="1:19" x14ac:dyDescent="0.3">
      <c r="A62" s="182" t="s">
        <v>23</v>
      </c>
      <c r="B62" s="183" t="s">
        <v>88</v>
      </c>
      <c r="C62" s="184"/>
      <c r="D62" s="185"/>
      <c r="E62" s="185"/>
      <c r="F62" s="185"/>
      <c r="G62" s="185"/>
      <c r="H62" s="185"/>
      <c r="I62" s="185"/>
      <c r="J62" s="206"/>
      <c r="K62" s="207"/>
      <c r="L62" s="186"/>
      <c r="M62" s="208"/>
      <c r="N62" s="185"/>
      <c r="O62" s="209" t="e">
        <f>(#REF!/E62)-1</f>
        <v>#REF!</v>
      </c>
      <c r="P62" s="210" t="e">
        <f>(#REF!/F62)-1</f>
        <v>#REF!</v>
      </c>
      <c r="Q62" s="190"/>
      <c r="R62" s="215"/>
      <c r="S62" s="215"/>
    </row>
    <row r="63" spans="1:19" ht="26" x14ac:dyDescent="0.3">
      <c r="A63" s="184" t="s">
        <v>33</v>
      </c>
      <c r="B63" s="211" t="s">
        <v>89</v>
      </c>
      <c r="C63" s="184" t="s">
        <v>6</v>
      </c>
      <c r="D63" s="185">
        <v>1</v>
      </c>
      <c r="E63" s="185"/>
      <c r="F63" s="186"/>
      <c r="G63" s="431">
        <v>12189000</v>
      </c>
      <c r="H63" s="433">
        <v>12189000</v>
      </c>
      <c r="I63" s="252">
        <v>4523810</v>
      </c>
      <c r="J63" s="253">
        <f>I63*D63</f>
        <v>4523810</v>
      </c>
      <c r="K63" s="254">
        <f>204.8*2800000/70</f>
        <v>8192000</v>
      </c>
      <c r="L63" s="255">
        <f>K63*D63</f>
        <v>8192000</v>
      </c>
      <c r="M63" s="256">
        <f>L63*E63</f>
        <v>0</v>
      </c>
      <c r="N63" s="258">
        <f>M63*F63</f>
        <v>0</v>
      </c>
      <c r="O63" s="214" t="e">
        <f>(#REF!/E63)-1</f>
        <v>#REF!</v>
      </c>
      <c r="P63" s="189" t="e">
        <f>(#REF!/F63)-1</f>
        <v>#REF!</v>
      </c>
      <c r="Q63" s="190"/>
      <c r="R63" s="215"/>
      <c r="S63" s="215"/>
    </row>
    <row r="64" spans="1:19" x14ac:dyDescent="0.3">
      <c r="A64" s="184" t="s">
        <v>39</v>
      </c>
      <c r="B64" s="211" t="s">
        <v>101</v>
      </c>
      <c r="C64" s="184" t="s">
        <v>7</v>
      </c>
      <c r="D64" s="247">
        <v>220</v>
      </c>
      <c r="E64" s="185"/>
      <c r="F64" s="186"/>
      <c r="G64" s="432"/>
      <c r="H64" s="434"/>
      <c r="I64" s="252">
        <v>40476</v>
      </c>
      <c r="J64" s="253">
        <f>I64*D64</f>
        <v>8904720</v>
      </c>
      <c r="K64" s="254">
        <v>23000</v>
      </c>
      <c r="L64" s="255">
        <f>K64*D64</f>
        <v>5060000</v>
      </c>
      <c r="M64" s="208">
        <v>9000</v>
      </c>
      <c r="N64" s="258">
        <f>M64*D64</f>
        <v>1980000</v>
      </c>
      <c r="O64" s="214" t="e">
        <f>(#REF!/E64)-1</f>
        <v>#REF!</v>
      </c>
      <c r="P64" s="189" t="e">
        <f>(#REF!/F64)-1</f>
        <v>#REF!</v>
      </c>
      <c r="Q64" s="190"/>
      <c r="R64" s="215"/>
      <c r="S64" s="215"/>
    </row>
    <row r="65" spans="1:19" x14ac:dyDescent="0.3">
      <c r="A65" s="184" t="s">
        <v>40</v>
      </c>
      <c r="B65" s="216" t="s">
        <v>96</v>
      </c>
      <c r="C65" s="184" t="s">
        <v>7</v>
      </c>
      <c r="D65" s="185">
        <v>186</v>
      </c>
      <c r="E65" s="185"/>
      <c r="F65" s="186"/>
      <c r="G65" s="432"/>
      <c r="H65" s="434"/>
      <c r="I65" s="258">
        <v>40476</v>
      </c>
      <c r="J65" s="257">
        <f>I65*D65</f>
        <v>7528536</v>
      </c>
      <c r="K65" s="254">
        <v>11000</v>
      </c>
      <c r="L65" s="255">
        <f>K65*D65</f>
        <v>2046000</v>
      </c>
      <c r="M65" s="208">
        <v>9000</v>
      </c>
      <c r="N65" s="258">
        <f>M65*D65</f>
        <v>1674000</v>
      </c>
      <c r="O65" s="243" t="e">
        <f>(#REF!/E65)-1</f>
        <v>#REF!</v>
      </c>
      <c r="P65" s="244" t="e">
        <f>(#REF!/F65)-1</f>
        <v>#REF!</v>
      </c>
      <c r="Q65" s="190"/>
      <c r="R65" s="215"/>
      <c r="S65" s="215"/>
    </row>
    <row r="66" spans="1:19" ht="26" x14ac:dyDescent="0.3">
      <c r="A66" s="184" t="s">
        <v>43</v>
      </c>
      <c r="B66" s="211" t="s">
        <v>56</v>
      </c>
      <c r="C66" s="184" t="s">
        <v>6</v>
      </c>
      <c r="D66" s="185">
        <v>1</v>
      </c>
      <c r="E66" s="185"/>
      <c r="F66" s="186"/>
      <c r="G66" s="187">
        <v>2681580</v>
      </c>
      <c r="H66" s="188">
        <f>G66*D66</f>
        <v>2681580</v>
      </c>
      <c r="I66" s="187">
        <v>1011905</v>
      </c>
      <c r="J66" s="213">
        <f>I66*D66</f>
        <v>1011905</v>
      </c>
      <c r="K66" s="207">
        <v>260000</v>
      </c>
      <c r="L66" s="255">
        <f>K66*D66</f>
        <v>260000</v>
      </c>
      <c r="M66" s="208">
        <v>150000</v>
      </c>
      <c r="N66" s="258">
        <f>M66*D66</f>
        <v>150000</v>
      </c>
      <c r="O66" s="214" t="e">
        <f>(#REF!/E66)-1</f>
        <v>#REF!</v>
      </c>
      <c r="P66" s="189" t="e">
        <f>(#REF!/F66)-1</f>
        <v>#REF!</v>
      </c>
      <c r="Q66" s="190"/>
      <c r="R66" s="215"/>
      <c r="S66" s="215"/>
    </row>
    <row r="67" spans="1:19" x14ac:dyDescent="0.3">
      <c r="A67" s="184" t="s">
        <v>97</v>
      </c>
      <c r="B67" s="211" t="s">
        <v>77</v>
      </c>
      <c r="C67" s="184" t="s">
        <v>7</v>
      </c>
      <c r="D67" s="259">
        <f>8.5+21+14</f>
        <v>43.5</v>
      </c>
      <c r="E67" s="185"/>
      <c r="F67" s="186"/>
      <c r="G67" s="185"/>
      <c r="H67" s="186"/>
      <c r="I67" s="185"/>
      <c r="J67" s="206"/>
      <c r="K67" s="207"/>
      <c r="L67" s="255"/>
      <c r="M67" s="208"/>
      <c r="N67" s="258"/>
      <c r="O67" s="243"/>
      <c r="P67" s="244"/>
      <c r="Q67" s="190"/>
      <c r="R67" s="215"/>
      <c r="S67" s="215"/>
    </row>
    <row r="68" spans="1:19" x14ac:dyDescent="0.3">
      <c r="A68" s="184" t="s">
        <v>98</v>
      </c>
      <c r="B68" s="211" t="s">
        <v>80</v>
      </c>
      <c r="C68" s="184" t="s">
        <v>2</v>
      </c>
      <c r="D68" s="185">
        <v>1</v>
      </c>
      <c r="E68" s="185"/>
      <c r="F68" s="186"/>
      <c r="G68" s="185">
        <v>485000</v>
      </c>
      <c r="H68" s="186">
        <f>G68*D68</f>
        <v>485000</v>
      </c>
      <c r="I68" s="185">
        <v>485000</v>
      </c>
      <c r="J68" s="206">
        <f>I68*D68</f>
        <v>485000</v>
      </c>
      <c r="K68" s="207">
        <v>485000</v>
      </c>
      <c r="L68" s="186">
        <f>K68*D68</f>
        <v>485000</v>
      </c>
      <c r="M68" s="208">
        <v>485000</v>
      </c>
      <c r="N68" s="185">
        <f>M68*D68</f>
        <v>485000</v>
      </c>
      <c r="O68" s="243" t="e">
        <f>(#REF!/E68)-1</f>
        <v>#REF!</v>
      </c>
      <c r="P68" s="244" t="e">
        <f>(#REF!/F68)-1</f>
        <v>#REF!</v>
      </c>
      <c r="Q68" s="190"/>
      <c r="R68" s="215"/>
      <c r="S68" s="215"/>
    </row>
    <row r="69" spans="1:19" x14ac:dyDescent="0.3">
      <c r="A69" s="184" t="s">
        <v>99</v>
      </c>
      <c r="B69" s="211" t="s">
        <v>100</v>
      </c>
      <c r="C69" s="184" t="s">
        <v>8</v>
      </c>
      <c r="D69" s="185">
        <v>16</v>
      </c>
      <c r="E69" s="185"/>
      <c r="F69" s="186"/>
      <c r="G69" s="185">
        <v>485000</v>
      </c>
      <c r="H69" s="186">
        <f>G69*D69</f>
        <v>7760000</v>
      </c>
      <c r="I69" s="185">
        <v>485000</v>
      </c>
      <c r="J69" s="206">
        <f>I69*D69</f>
        <v>7760000</v>
      </c>
      <c r="K69" s="207">
        <v>485000</v>
      </c>
      <c r="L69" s="186">
        <f>K69*D69</f>
        <v>7760000</v>
      </c>
      <c r="M69" s="208">
        <v>485000</v>
      </c>
      <c r="N69" s="185">
        <f>M69*D69</f>
        <v>7760000</v>
      </c>
      <c r="O69" s="243" t="e">
        <f>(#REF!/E69)-1</f>
        <v>#REF!</v>
      </c>
      <c r="P69" s="244" t="e">
        <f>(#REF!/F69)-1</f>
        <v>#REF!</v>
      </c>
      <c r="Q69" s="190"/>
      <c r="R69" s="215"/>
      <c r="S69" s="215"/>
    </row>
    <row r="70" spans="1:19" x14ac:dyDescent="0.3">
      <c r="A70" s="192"/>
      <c r="B70" s="238"/>
      <c r="C70" s="239"/>
      <c r="D70" s="240"/>
      <c r="E70" s="240"/>
      <c r="F70" s="241"/>
      <c r="G70" s="240"/>
      <c r="H70" s="186"/>
      <c r="I70" s="240"/>
      <c r="J70" s="206"/>
      <c r="K70" s="242"/>
      <c r="L70" s="255"/>
      <c r="M70" s="240"/>
      <c r="N70" s="258"/>
      <c r="O70" s="240"/>
      <c r="P70" s="258"/>
      <c r="Q70" s="181"/>
      <c r="R70" s="215"/>
      <c r="S70" s="215"/>
    </row>
    <row r="71" spans="1:19" x14ac:dyDescent="0.3">
      <c r="A71" s="182" t="s">
        <v>24</v>
      </c>
      <c r="B71" s="183" t="s">
        <v>70</v>
      </c>
      <c r="C71" s="184"/>
      <c r="D71" s="185"/>
      <c r="E71" s="185"/>
      <c r="F71" s="185"/>
      <c r="G71" s="185"/>
      <c r="H71" s="185"/>
      <c r="I71" s="185"/>
      <c r="J71" s="206"/>
      <c r="K71" s="207"/>
      <c r="L71" s="186"/>
      <c r="M71" s="208"/>
      <c r="N71" s="185"/>
      <c r="O71" s="209" t="e">
        <f>(#REF!/E71)-1</f>
        <v>#REF!</v>
      </c>
      <c r="P71" s="210" t="e">
        <f>(#REF!/F71)-1</f>
        <v>#REF!</v>
      </c>
      <c r="Q71" s="190"/>
      <c r="R71" s="215"/>
      <c r="S71" s="215"/>
    </row>
    <row r="72" spans="1:19" ht="26" x14ac:dyDescent="0.3">
      <c r="A72" s="184" t="s">
        <v>111</v>
      </c>
      <c r="B72" s="211" t="s">
        <v>130</v>
      </c>
      <c r="C72" s="184" t="s">
        <v>2</v>
      </c>
      <c r="D72" s="185">
        <v>2</v>
      </c>
      <c r="E72" s="185"/>
      <c r="F72" s="186"/>
      <c r="G72" s="185">
        <v>5000000</v>
      </c>
      <c r="H72" s="186">
        <f>G72*D72</f>
        <v>10000000</v>
      </c>
      <c r="I72" s="258">
        <v>4523810</v>
      </c>
      <c r="J72" s="206">
        <f>I72*D72</f>
        <v>9047620</v>
      </c>
      <c r="K72" s="254">
        <v>2800000</v>
      </c>
      <c r="L72" s="255">
        <f>K72*D72</f>
        <v>5600000</v>
      </c>
      <c r="M72" s="208">
        <v>5000000</v>
      </c>
      <c r="N72" s="258">
        <f>M72*D72</f>
        <v>10000000</v>
      </c>
      <c r="O72" s="243" t="e">
        <f>(#REF!/E72)-1</f>
        <v>#REF!</v>
      </c>
      <c r="P72" s="244" t="e">
        <f>(#REF!/F72)-1</f>
        <v>#REF!</v>
      </c>
      <c r="Q72" s="190"/>
      <c r="R72" s="215"/>
      <c r="S72" s="215"/>
    </row>
    <row r="73" spans="1:19" x14ac:dyDescent="0.3">
      <c r="A73" s="192"/>
      <c r="B73" s="238"/>
      <c r="C73" s="239"/>
      <c r="D73" s="240"/>
      <c r="E73" s="240"/>
      <c r="F73" s="241"/>
      <c r="G73" s="240"/>
      <c r="H73" s="186"/>
      <c r="I73" s="240"/>
      <c r="J73" s="206"/>
      <c r="K73" s="242"/>
      <c r="L73" s="255"/>
      <c r="M73" s="240"/>
      <c r="N73" s="258"/>
      <c r="O73" s="240"/>
      <c r="P73" s="258"/>
      <c r="Q73" s="181"/>
      <c r="R73" s="215"/>
      <c r="S73" s="215"/>
    </row>
    <row r="74" spans="1:19" x14ac:dyDescent="0.3">
      <c r="A74" s="260" t="s">
        <v>102</v>
      </c>
      <c r="B74" s="261" t="s">
        <v>53</v>
      </c>
      <c r="C74" s="184"/>
      <c r="D74" s="185"/>
      <c r="E74" s="185"/>
      <c r="F74" s="185"/>
      <c r="G74" s="185"/>
      <c r="H74" s="185"/>
      <c r="I74" s="185"/>
      <c r="J74" s="206"/>
      <c r="K74" s="207"/>
      <c r="L74" s="186"/>
      <c r="M74" s="208"/>
      <c r="N74" s="185"/>
      <c r="O74" s="209" t="e">
        <f>(#REF!/E74)-1</f>
        <v>#REF!</v>
      </c>
      <c r="P74" s="210" t="e">
        <f>(#REF!/F74)-1</f>
        <v>#REF!</v>
      </c>
      <c r="Q74" s="190"/>
      <c r="R74" s="215"/>
      <c r="S74" s="215"/>
    </row>
    <row r="75" spans="1:19" ht="26" x14ac:dyDescent="0.3">
      <c r="A75" s="184" t="s">
        <v>103</v>
      </c>
      <c r="B75" s="211" t="s">
        <v>95</v>
      </c>
      <c r="C75" s="184" t="s">
        <v>2</v>
      </c>
      <c r="D75" s="185">
        <v>1</v>
      </c>
      <c r="E75" s="185"/>
      <c r="F75" s="186"/>
      <c r="G75" s="217">
        <v>340000</v>
      </c>
      <c r="H75" s="218">
        <f>G75*D75</f>
        <v>340000</v>
      </c>
      <c r="I75" s="187">
        <v>535714</v>
      </c>
      <c r="J75" s="213">
        <f>I75*D75</f>
        <v>535714</v>
      </c>
      <c r="K75" s="207">
        <v>300000</v>
      </c>
      <c r="L75" s="255">
        <f>K75*D75</f>
        <v>300000</v>
      </c>
      <c r="M75" s="208">
        <v>300000</v>
      </c>
      <c r="N75" s="258">
        <f>M75*D75</f>
        <v>300000</v>
      </c>
      <c r="O75" s="214" t="e">
        <f>(#REF!/E75)-1</f>
        <v>#REF!</v>
      </c>
      <c r="P75" s="189" t="e">
        <f>(#REF!/F75)-1</f>
        <v>#REF!</v>
      </c>
      <c r="Q75" s="190"/>
      <c r="R75" s="215"/>
      <c r="S75" s="215"/>
    </row>
    <row r="76" spans="1:19" x14ac:dyDescent="0.3">
      <c r="A76" s="184" t="s">
        <v>105</v>
      </c>
      <c r="B76" s="216" t="s">
        <v>52</v>
      </c>
      <c r="C76" s="184" t="s">
        <v>2</v>
      </c>
      <c r="D76" s="185">
        <v>6</v>
      </c>
      <c r="E76" s="185"/>
      <c r="F76" s="186"/>
      <c r="G76" s="187">
        <v>95074</v>
      </c>
      <c r="H76" s="188">
        <f t="shared" ref="H76:H80" si="8">G76*D76</f>
        <v>570444</v>
      </c>
      <c r="I76" s="187">
        <v>15476</v>
      </c>
      <c r="J76" s="213">
        <f t="shared" ref="J76:J80" si="9">I76*D76</f>
        <v>92856</v>
      </c>
      <c r="K76" s="207">
        <v>12000</v>
      </c>
      <c r="L76" s="255">
        <f t="shared" ref="L76:L80" si="10">K76*D76</f>
        <v>72000</v>
      </c>
      <c r="M76" s="208">
        <v>18500</v>
      </c>
      <c r="N76" s="258">
        <f t="shared" ref="N76:N80" si="11">M76*D76</f>
        <v>111000</v>
      </c>
      <c r="O76" s="214" t="e">
        <f>(#REF!/E76)-1</f>
        <v>#REF!</v>
      </c>
      <c r="P76" s="189" t="e">
        <f>(#REF!/F76)-1</f>
        <v>#REF!</v>
      </c>
      <c r="Q76" s="190"/>
      <c r="R76" s="215"/>
      <c r="S76" s="215"/>
    </row>
    <row r="77" spans="1:19" x14ac:dyDescent="0.3">
      <c r="A77" s="184" t="s">
        <v>106</v>
      </c>
      <c r="B77" s="216" t="s">
        <v>72</v>
      </c>
      <c r="C77" s="184" t="s">
        <v>6</v>
      </c>
      <c r="D77" s="185">
        <v>1</v>
      </c>
      <c r="E77" s="185"/>
      <c r="F77" s="186"/>
      <c r="G77" s="187">
        <v>103607</v>
      </c>
      <c r="H77" s="188">
        <f t="shared" si="8"/>
        <v>103607</v>
      </c>
      <c r="I77" s="187">
        <v>226190</v>
      </c>
      <c r="J77" s="213">
        <f t="shared" si="9"/>
        <v>226190</v>
      </c>
      <c r="K77" s="207">
        <v>26000</v>
      </c>
      <c r="L77" s="255">
        <f t="shared" si="10"/>
        <v>26000</v>
      </c>
      <c r="M77" s="208">
        <v>160000</v>
      </c>
      <c r="N77" s="258">
        <f t="shared" si="11"/>
        <v>160000</v>
      </c>
      <c r="O77" s="214" t="e">
        <f>(#REF!/E77)-1</f>
        <v>#REF!</v>
      </c>
      <c r="P77" s="189" t="e">
        <f>(#REF!/F77)-1</f>
        <v>#REF!</v>
      </c>
      <c r="Q77" s="190"/>
      <c r="R77" s="215"/>
      <c r="S77" s="215"/>
    </row>
    <row r="78" spans="1:19" x14ac:dyDescent="0.3">
      <c r="A78" s="184" t="s">
        <v>108</v>
      </c>
      <c r="B78" s="216" t="s">
        <v>74</v>
      </c>
      <c r="C78" s="184" t="s">
        <v>2</v>
      </c>
      <c r="D78" s="185">
        <v>2</v>
      </c>
      <c r="E78" s="185"/>
      <c r="F78" s="186"/>
      <c r="G78" s="217">
        <v>75000</v>
      </c>
      <c r="H78" s="218">
        <f t="shared" si="8"/>
        <v>150000</v>
      </c>
      <c r="I78" s="217">
        <v>75000</v>
      </c>
      <c r="J78" s="219">
        <f t="shared" si="9"/>
        <v>150000</v>
      </c>
      <c r="K78" s="207">
        <v>75000</v>
      </c>
      <c r="L78" s="186">
        <f t="shared" si="10"/>
        <v>150000</v>
      </c>
      <c r="M78" s="208">
        <v>75000</v>
      </c>
      <c r="N78" s="185">
        <f t="shared" si="11"/>
        <v>150000</v>
      </c>
      <c r="O78" s="220" t="e">
        <f>(#REF!/E78)-1</f>
        <v>#REF!</v>
      </c>
      <c r="P78" s="221" t="e">
        <f>(#REF!/F78)-1</f>
        <v>#REF!</v>
      </c>
      <c r="Q78" s="190"/>
      <c r="R78" s="215"/>
      <c r="S78" s="215"/>
    </row>
    <row r="79" spans="1:19" x14ac:dyDescent="0.3">
      <c r="A79" s="184" t="s">
        <v>109</v>
      </c>
      <c r="B79" s="211" t="s">
        <v>82</v>
      </c>
      <c r="C79" s="184" t="s">
        <v>8</v>
      </c>
      <c r="D79" s="185">
        <v>10</v>
      </c>
      <c r="E79" s="185"/>
      <c r="F79" s="186"/>
      <c r="G79" s="217">
        <v>35000</v>
      </c>
      <c r="H79" s="218">
        <f t="shared" si="8"/>
        <v>350000</v>
      </c>
      <c r="I79" s="217">
        <v>35000</v>
      </c>
      <c r="J79" s="219">
        <f t="shared" si="9"/>
        <v>350000</v>
      </c>
      <c r="K79" s="207">
        <v>35000</v>
      </c>
      <c r="L79" s="186">
        <f t="shared" si="10"/>
        <v>350000</v>
      </c>
      <c r="M79" s="208">
        <v>35000</v>
      </c>
      <c r="N79" s="185">
        <f t="shared" si="11"/>
        <v>350000</v>
      </c>
      <c r="O79" s="220" t="e">
        <f>(#REF!/E79)-1</f>
        <v>#REF!</v>
      </c>
      <c r="P79" s="221" t="e">
        <f>(#REF!/F79)-1</f>
        <v>#REF!</v>
      </c>
      <c r="Q79" s="190"/>
    </row>
    <row r="80" spans="1:19" x14ac:dyDescent="0.3">
      <c r="A80" s="184" t="s">
        <v>110</v>
      </c>
      <c r="B80" s="216" t="s">
        <v>131</v>
      </c>
      <c r="C80" s="184" t="s">
        <v>2</v>
      </c>
      <c r="D80" s="185">
        <v>1</v>
      </c>
      <c r="E80" s="185"/>
      <c r="F80" s="186"/>
      <c r="G80" s="217">
        <v>150000</v>
      </c>
      <c r="H80" s="218">
        <f t="shared" si="8"/>
        <v>150000</v>
      </c>
      <c r="I80" s="217">
        <v>150000</v>
      </c>
      <c r="J80" s="219">
        <f t="shared" si="9"/>
        <v>150000</v>
      </c>
      <c r="K80" s="207">
        <v>150000</v>
      </c>
      <c r="L80" s="186">
        <f t="shared" si="10"/>
        <v>150000</v>
      </c>
      <c r="M80" s="208">
        <v>150000</v>
      </c>
      <c r="N80" s="185">
        <f t="shared" si="11"/>
        <v>150000</v>
      </c>
      <c r="O80" s="220" t="e">
        <f>(#REF!/E80)-1</f>
        <v>#REF!</v>
      </c>
      <c r="P80" s="221" t="e">
        <f>(#REF!/F80)-1</f>
        <v>#REF!</v>
      </c>
      <c r="Q80" s="190"/>
    </row>
    <row r="81" spans="1:19" x14ac:dyDescent="0.3">
      <c r="A81" s="192"/>
      <c r="B81" s="238"/>
      <c r="C81" s="239"/>
      <c r="D81" s="240"/>
      <c r="E81" s="240"/>
      <c r="F81" s="241"/>
      <c r="G81" s="240"/>
      <c r="H81" s="186"/>
      <c r="I81" s="240"/>
      <c r="J81" s="206"/>
      <c r="K81" s="242"/>
      <c r="L81" s="255"/>
      <c r="M81" s="240"/>
      <c r="N81" s="258"/>
      <c r="O81" s="240"/>
      <c r="P81" s="258"/>
      <c r="Q81" s="181"/>
      <c r="R81" s="215"/>
      <c r="S81" s="215"/>
    </row>
    <row r="82" spans="1:19" x14ac:dyDescent="0.3">
      <c r="A82" s="260" t="s">
        <v>24</v>
      </c>
      <c r="B82" s="183" t="s">
        <v>75</v>
      </c>
      <c r="C82" s="184"/>
      <c r="D82" s="185"/>
      <c r="E82" s="185"/>
      <c r="F82" s="185"/>
      <c r="G82" s="185"/>
      <c r="H82" s="185"/>
      <c r="I82" s="185"/>
      <c r="J82" s="206"/>
      <c r="K82" s="207"/>
      <c r="L82" s="186"/>
      <c r="M82" s="208"/>
      <c r="N82" s="185"/>
      <c r="O82" s="209" t="e">
        <f>(#REF!/E82)-1</f>
        <v>#REF!</v>
      </c>
      <c r="P82" s="210" t="e">
        <f>(#REF!/F82)-1</f>
        <v>#REF!</v>
      </c>
      <c r="Q82" s="190"/>
      <c r="R82" s="215"/>
      <c r="S82" s="215"/>
    </row>
    <row r="83" spans="1:19" ht="26" x14ac:dyDescent="0.3">
      <c r="A83" s="184" t="s">
        <v>92</v>
      </c>
      <c r="B83" s="211" t="s">
        <v>91</v>
      </c>
      <c r="C83" s="184" t="s">
        <v>6</v>
      </c>
      <c r="D83" s="185">
        <v>1</v>
      </c>
      <c r="E83" s="185"/>
      <c r="F83" s="186"/>
      <c r="G83" s="185">
        <v>1350000</v>
      </c>
      <c r="H83" s="186">
        <f>G83*D83</f>
        <v>1350000</v>
      </c>
      <c r="I83" s="185">
        <v>1350001</v>
      </c>
      <c r="J83" s="206">
        <f>I83*D83</f>
        <v>1350001</v>
      </c>
      <c r="K83" s="207">
        <v>1350002</v>
      </c>
      <c r="L83" s="186">
        <f>K83*D83</f>
        <v>1350002</v>
      </c>
      <c r="M83" s="208">
        <v>1350003</v>
      </c>
      <c r="N83" s="185">
        <f>M83*D83</f>
        <v>1350003</v>
      </c>
      <c r="O83" s="243" t="e">
        <f>(#REF!/E83)-1</f>
        <v>#REF!</v>
      </c>
      <c r="P83" s="244" t="e">
        <f>(#REF!/F83)-1</f>
        <v>#REF!</v>
      </c>
      <c r="Q83" s="190"/>
      <c r="R83" s="215"/>
      <c r="S83" s="215"/>
    </row>
    <row r="84" spans="1:19" ht="26" x14ac:dyDescent="0.3">
      <c r="A84" s="184" t="s">
        <v>93</v>
      </c>
      <c r="B84" s="211" t="s">
        <v>79</v>
      </c>
      <c r="C84" s="184" t="s">
        <v>2</v>
      </c>
      <c r="D84" s="185">
        <v>1</v>
      </c>
      <c r="E84" s="185"/>
      <c r="F84" s="186"/>
      <c r="G84" s="185"/>
      <c r="H84" s="186"/>
      <c r="I84" s="185"/>
      <c r="J84" s="206"/>
      <c r="K84" s="207"/>
      <c r="L84" s="186"/>
      <c r="M84" s="208"/>
      <c r="N84" s="185"/>
      <c r="O84" s="243"/>
      <c r="P84" s="244"/>
      <c r="Q84" s="190"/>
      <c r="R84" s="215"/>
      <c r="S84" s="215"/>
    </row>
    <row r="85" spans="1:19" ht="6" customHeight="1" thickBot="1" x14ac:dyDescent="0.35">
      <c r="A85" s="192"/>
      <c r="B85" s="238"/>
      <c r="C85" s="239"/>
      <c r="D85" s="240"/>
      <c r="E85" s="240"/>
      <c r="F85" s="241"/>
      <c r="G85" s="240"/>
      <c r="H85" s="241"/>
      <c r="I85" s="240"/>
      <c r="J85" s="240"/>
      <c r="K85" s="262"/>
      <c r="L85" s="263"/>
      <c r="M85" s="240"/>
      <c r="N85" s="208"/>
      <c r="O85" s="240"/>
      <c r="P85" s="208"/>
      <c r="Q85" s="195"/>
    </row>
    <row r="86" spans="1:19" ht="13.5" thickBot="1" x14ac:dyDescent="0.35">
      <c r="A86" s="435" t="s">
        <v>11</v>
      </c>
      <c r="B86" s="436"/>
      <c r="C86" s="436"/>
      <c r="D86" s="436"/>
      <c r="E86" s="437"/>
      <c r="F86" s="201"/>
      <c r="G86" s="251"/>
      <c r="H86" s="201">
        <f>SUM(H63:H84)</f>
        <v>36129631</v>
      </c>
      <c r="I86" s="251"/>
      <c r="J86" s="201">
        <f>SUM(J63:J84)</f>
        <v>42116352</v>
      </c>
      <c r="K86" s="251"/>
      <c r="L86" s="201">
        <f>SUM(L63:L69)</f>
        <v>23803000</v>
      </c>
      <c r="M86" s="251"/>
      <c r="N86" s="203">
        <f>SUM(N63:N84)</f>
        <v>24620003</v>
      </c>
      <c r="O86" s="202"/>
      <c r="P86" s="264" t="e">
        <f>(#REF!/F86)-1</f>
        <v>#REF!</v>
      </c>
      <c r="Q86" s="190"/>
    </row>
    <row r="87" spans="1:19" ht="6.75" customHeight="1" x14ac:dyDescent="0.3">
      <c r="A87" s="232"/>
      <c r="B87" s="233"/>
      <c r="C87" s="233"/>
      <c r="D87" s="233"/>
      <c r="E87" s="233"/>
      <c r="F87" s="265"/>
      <c r="G87" s="233"/>
      <c r="H87" s="265"/>
      <c r="I87" s="233"/>
      <c r="J87" s="266"/>
      <c r="K87" s="267"/>
      <c r="L87" s="265"/>
      <c r="M87" s="233"/>
      <c r="N87" s="268"/>
      <c r="O87" s="233"/>
      <c r="P87" s="268"/>
      <c r="Q87" s="195"/>
    </row>
    <row r="88" spans="1:19" ht="13.5" thickBot="1" x14ac:dyDescent="0.35">
      <c r="A88" s="274"/>
      <c r="B88" s="275"/>
      <c r="C88" s="276"/>
      <c r="D88" s="277"/>
      <c r="E88" s="278"/>
      <c r="F88" s="279"/>
      <c r="G88" s="278"/>
      <c r="H88" s="279"/>
      <c r="I88" s="278"/>
      <c r="J88" s="279"/>
      <c r="K88" s="331"/>
      <c r="L88" s="280"/>
      <c r="M88" s="278"/>
      <c r="N88" s="281"/>
      <c r="O88" s="278"/>
      <c r="P88" s="281"/>
      <c r="Q88" s="195"/>
    </row>
    <row r="89" spans="1:19" x14ac:dyDescent="0.3">
      <c r="A89" s="438" t="s">
        <v>15</v>
      </c>
      <c r="B89" s="439"/>
      <c r="C89" s="316"/>
      <c r="D89" s="317"/>
      <c r="E89" s="318"/>
      <c r="F89" s="442"/>
      <c r="G89" s="282"/>
      <c r="H89" s="444">
        <f>H86+H57+H37+H15</f>
        <v>66589311</v>
      </c>
      <c r="I89" s="282"/>
      <c r="J89" s="444">
        <f>J86+J57+J37+J15</f>
        <v>71830316</v>
      </c>
      <c r="K89" s="282"/>
      <c r="L89" s="444">
        <f>L86+L57+L37+L15</f>
        <v>46719400</v>
      </c>
      <c r="M89" s="282"/>
      <c r="N89" s="446">
        <f>N86+N57+N37+N15</f>
        <v>54508003</v>
      </c>
      <c r="O89" s="425"/>
      <c r="P89" s="427" t="e">
        <f>(#REF!/F89)-1</f>
        <v>#REF!</v>
      </c>
      <c r="Q89" s="190"/>
    </row>
    <row r="90" spans="1:19" ht="5.25" customHeight="1" x14ac:dyDescent="0.3">
      <c r="A90" s="440"/>
      <c r="B90" s="441"/>
      <c r="C90" s="283"/>
      <c r="D90" s="284"/>
      <c r="E90" s="285"/>
      <c r="F90" s="443"/>
      <c r="G90" s="285"/>
      <c r="H90" s="445"/>
      <c r="I90" s="285"/>
      <c r="J90" s="445"/>
      <c r="K90" s="285"/>
      <c r="L90" s="445"/>
      <c r="M90" s="285"/>
      <c r="N90" s="443"/>
      <c r="O90" s="426"/>
      <c r="P90" s="428"/>
      <c r="Q90" s="190"/>
    </row>
    <row r="91" spans="1:19" x14ac:dyDescent="0.3">
      <c r="A91" s="301"/>
      <c r="B91" s="315"/>
      <c r="C91" s="335"/>
      <c r="D91" s="344"/>
      <c r="E91" s="345"/>
      <c r="F91" s="336"/>
      <c r="G91" s="215"/>
      <c r="H91" s="191"/>
      <c r="I91" s="215"/>
      <c r="J91" s="191"/>
      <c r="K91" s="215"/>
      <c r="L91" s="191"/>
      <c r="M91" s="215"/>
      <c r="N91" s="332"/>
      <c r="O91" s="288"/>
      <c r="P91" s="289"/>
      <c r="Q91" s="190"/>
    </row>
    <row r="92" spans="1:19" x14ac:dyDescent="0.3">
      <c r="A92" s="301"/>
      <c r="B92" s="302"/>
      <c r="C92" s="346"/>
      <c r="D92" s="347"/>
      <c r="E92" s="348"/>
      <c r="F92" s="349"/>
      <c r="G92" s="215"/>
      <c r="H92" s="191"/>
      <c r="I92" s="215"/>
      <c r="J92" s="191"/>
      <c r="K92" s="215"/>
      <c r="L92" s="191"/>
      <c r="M92" s="215"/>
      <c r="N92" s="332"/>
      <c r="O92" s="288"/>
      <c r="P92" s="289"/>
      <c r="Q92" s="190"/>
    </row>
    <row r="93" spans="1:19" x14ac:dyDescent="0.3">
      <c r="A93" s="290" t="s">
        <v>0</v>
      </c>
      <c r="B93" s="291" t="s">
        <v>1</v>
      </c>
      <c r="C93" s="290" t="s">
        <v>2</v>
      </c>
      <c r="D93" s="292" t="s">
        <v>3</v>
      </c>
      <c r="E93" s="419" t="s">
        <v>145</v>
      </c>
      <c r="F93" s="325" t="s">
        <v>5</v>
      </c>
      <c r="G93" s="293" t="s">
        <v>4</v>
      </c>
      <c r="H93" s="293" t="s">
        <v>5</v>
      </c>
      <c r="I93" s="293" t="s">
        <v>4</v>
      </c>
      <c r="J93" s="293" t="s">
        <v>5</v>
      </c>
      <c r="K93" s="293" t="s">
        <v>4</v>
      </c>
      <c r="L93" s="293" t="s">
        <v>5</v>
      </c>
      <c r="M93" s="293" t="s">
        <v>4</v>
      </c>
      <c r="N93" s="293" t="s">
        <v>5</v>
      </c>
      <c r="O93" s="166" t="s">
        <v>4</v>
      </c>
      <c r="P93" s="167" t="s">
        <v>5</v>
      </c>
      <c r="Q93" s="163"/>
    </row>
    <row r="94" spans="1:19" ht="13.5" thickBot="1" x14ac:dyDescent="0.35">
      <c r="A94" s="294"/>
      <c r="B94" s="295"/>
      <c r="C94" s="294"/>
      <c r="D94" s="296"/>
      <c r="E94" s="420"/>
      <c r="F94" s="173" t="s">
        <v>144</v>
      </c>
      <c r="G94" s="297"/>
      <c r="H94" s="297"/>
      <c r="I94" s="297"/>
      <c r="J94" s="297"/>
      <c r="K94" s="297"/>
      <c r="L94" s="297"/>
      <c r="M94" s="297"/>
      <c r="N94" s="297"/>
      <c r="O94" s="166"/>
      <c r="P94" s="298"/>
      <c r="Q94" s="163"/>
    </row>
    <row r="95" spans="1:19" ht="13.5" thickBot="1" x14ac:dyDescent="0.35">
      <c r="A95" s="459"/>
      <c r="B95" s="460"/>
      <c r="C95" s="460"/>
      <c r="D95" s="460"/>
      <c r="E95" s="460"/>
      <c r="F95" s="460"/>
      <c r="G95" s="460"/>
      <c r="H95" s="460"/>
      <c r="I95" s="460"/>
      <c r="J95" s="460"/>
      <c r="K95" s="460"/>
      <c r="L95" s="460"/>
      <c r="M95" s="460"/>
      <c r="N95" s="461"/>
      <c r="O95" s="166"/>
      <c r="P95" s="298"/>
      <c r="Q95" s="163"/>
    </row>
    <row r="96" spans="1:19" x14ac:dyDescent="0.3">
      <c r="A96" s="451" t="s">
        <v>142</v>
      </c>
      <c r="B96" s="452"/>
      <c r="C96" s="452"/>
      <c r="D96" s="452"/>
      <c r="E96" s="452"/>
      <c r="F96" s="452"/>
      <c r="G96" s="452"/>
      <c r="H96" s="452"/>
      <c r="I96" s="452"/>
      <c r="J96" s="452"/>
      <c r="K96" s="452"/>
      <c r="L96" s="452"/>
      <c r="M96" s="452"/>
      <c r="N96" s="462"/>
      <c r="O96" s="456"/>
      <c r="P96" s="457"/>
      <c r="Q96" s="179"/>
    </row>
    <row r="97" spans="1:19" ht="13.5" thickBot="1" x14ac:dyDescent="0.35">
      <c r="A97" s="453"/>
      <c r="B97" s="454"/>
      <c r="C97" s="454"/>
      <c r="D97" s="454"/>
      <c r="E97" s="454"/>
      <c r="F97" s="454"/>
      <c r="G97" s="454"/>
      <c r="H97" s="454"/>
      <c r="I97" s="454"/>
      <c r="J97" s="454"/>
      <c r="K97" s="454"/>
      <c r="L97" s="454"/>
      <c r="M97" s="454"/>
      <c r="N97" s="458"/>
      <c r="O97" s="454"/>
      <c r="P97" s="458"/>
      <c r="Q97" s="179"/>
    </row>
    <row r="98" spans="1:19" x14ac:dyDescent="0.3">
      <c r="A98" s="182" t="s">
        <v>24</v>
      </c>
      <c r="B98" s="183" t="s">
        <v>70</v>
      </c>
      <c r="C98" s="184"/>
      <c r="D98" s="185"/>
      <c r="E98" s="185"/>
      <c r="F98" s="185"/>
      <c r="G98" s="185"/>
      <c r="H98" s="185"/>
      <c r="I98" s="185"/>
      <c r="J98" s="206"/>
      <c r="K98" s="207"/>
      <c r="L98" s="186"/>
      <c r="M98" s="208"/>
      <c r="N98" s="185"/>
      <c r="O98" s="209" t="e">
        <f>(#REF!/E98)-1</f>
        <v>#REF!</v>
      </c>
      <c r="P98" s="210" t="e">
        <f>(#REF!/F98)-1</f>
        <v>#REF!</v>
      </c>
      <c r="Q98" s="190"/>
      <c r="R98" s="215"/>
      <c r="S98" s="215"/>
    </row>
    <row r="99" spans="1:19" x14ac:dyDescent="0.3">
      <c r="A99" s="184" t="s">
        <v>41</v>
      </c>
      <c r="B99" s="211" t="s">
        <v>76</v>
      </c>
      <c r="C99" s="184" t="s">
        <v>7</v>
      </c>
      <c r="D99" s="259">
        <v>58.39</v>
      </c>
      <c r="E99" s="185"/>
      <c r="F99" s="186"/>
      <c r="G99" s="185">
        <v>9000</v>
      </c>
      <c r="H99" s="186">
        <f t="shared" ref="H99:H100" si="12">G99*D99</f>
        <v>525510</v>
      </c>
      <c r="I99" s="258">
        <v>40476</v>
      </c>
      <c r="J99" s="206">
        <f>I99*D99</f>
        <v>2363393.64</v>
      </c>
      <c r="K99" s="254">
        <v>23000</v>
      </c>
      <c r="L99" s="255">
        <f>K99*D99</f>
        <v>1342970</v>
      </c>
      <c r="M99" s="208">
        <v>9000</v>
      </c>
      <c r="N99" s="258">
        <f t="shared" ref="N99:N100" si="13">M99*D99</f>
        <v>525510</v>
      </c>
      <c r="O99" s="243" t="e">
        <f>(#REF!/E99)-1</f>
        <v>#REF!</v>
      </c>
      <c r="P99" s="244" t="e">
        <f>(#REF!/F99)-1</f>
        <v>#REF!</v>
      </c>
      <c r="Q99" s="190"/>
      <c r="R99" s="215"/>
      <c r="S99" s="215"/>
    </row>
    <row r="100" spans="1:19" ht="26" x14ac:dyDescent="0.3">
      <c r="A100" s="184" t="s">
        <v>42</v>
      </c>
      <c r="B100" s="211" t="s">
        <v>129</v>
      </c>
      <c r="C100" s="184" t="s">
        <v>2</v>
      </c>
      <c r="D100" s="185">
        <v>1</v>
      </c>
      <c r="E100" s="185"/>
      <c r="F100" s="186"/>
      <c r="G100" s="185">
        <v>9000</v>
      </c>
      <c r="H100" s="186">
        <f t="shared" si="12"/>
        <v>9000</v>
      </c>
      <c r="I100" s="258">
        <v>40476</v>
      </c>
      <c r="J100" s="206">
        <f>I100*D100</f>
        <v>40476</v>
      </c>
      <c r="K100" s="254">
        <v>11000</v>
      </c>
      <c r="L100" s="255">
        <f>K100*D100</f>
        <v>11000</v>
      </c>
      <c r="M100" s="208">
        <v>9000</v>
      </c>
      <c r="N100" s="258">
        <f t="shared" si="13"/>
        <v>9000</v>
      </c>
      <c r="O100" s="243" t="e">
        <f>(#REF!/E100)-1</f>
        <v>#REF!</v>
      </c>
      <c r="P100" s="244" t="e">
        <f>(#REF!/F100)-1</f>
        <v>#REF!</v>
      </c>
      <c r="Q100" s="190"/>
      <c r="R100" s="215"/>
      <c r="S100" s="215"/>
    </row>
    <row r="101" spans="1:19" ht="26" x14ac:dyDescent="0.3">
      <c r="A101" s="184" t="s">
        <v>112</v>
      </c>
      <c r="B101" s="211" t="s">
        <v>128</v>
      </c>
      <c r="C101" s="184" t="s">
        <v>2</v>
      </c>
      <c r="D101" s="185">
        <v>1</v>
      </c>
      <c r="E101" s="185"/>
      <c r="F101" s="186"/>
      <c r="G101" s="185"/>
      <c r="H101" s="186"/>
      <c r="I101" s="258"/>
      <c r="J101" s="206"/>
      <c r="K101" s="254"/>
      <c r="L101" s="255"/>
      <c r="M101" s="208"/>
      <c r="N101" s="258"/>
      <c r="O101" s="243"/>
      <c r="P101" s="244"/>
      <c r="Q101" s="190"/>
      <c r="R101" s="215"/>
      <c r="S101" s="215"/>
    </row>
    <row r="102" spans="1:19" x14ac:dyDescent="0.3">
      <c r="A102" s="184" t="s">
        <v>44</v>
      </c>
      <c r="B102" s="211" t="s">
        <v>77</v>
      </c>
      <c r="C102" s="184" t="s">
        <v>7</v>
      </c>
      <c r="D102" s="259">
        <f>26*2-8</f>
        <v>44</v>
      </c>
      <c r="E102" s="185"/>
      <c r="F102" s="186"/>
      <c r="G102" s="185"/>
      <c r="H102" s="186"/>
      <c r="I102" s="258"/>
      <c r="J102" s="206"/>
      <c r="K102" s="254"/>
      <c r="L102" s="255"/>
      <c r="M102" s="208"/>
      <c r="N102" s="258"/>
      <c r="O102" s="243"/>
      <c r="P102" s="244"/>
      <c r="Q102" s="190"/>
      <c r="R102" s="215"/>
      <c r="S102" s="215"/>
    </row>
    <row r="103" spans="1:19" x14ac:dyDescent="0.3">
      <c r="A103" s="184" t="s">
        <v>45</v>
      </c>
      <c r="B103" s="211" t="s">
        <v>71</v>
      </c>
      <c r="C103" s="184" t="s">
        <v>6</v>
      </c>
      <c r="D103" s="185">
        <v>1</v>
      </c>
      <c r="E103" s="185"/>
      <c r="F103" s="186"/>
      <c r="G103" s="217">
        <v>100000</v>
      </c>
      <c r="H103" s="218">
        <f t="shared" ref="H103" si="14">G103*D103</f>
        <v>100000</v>
      </c>
      <c r="I103" s="217">
        <v>100000</v>
      </c>
      <c r="J103" s="219">
        <f>I103*D103</f>
        <v>100000</v>
      </c>
      <c r="K103" s="207">
        <v>100000</v>
      </c>
      <c r="L103" s="186">
        <f>K103*D103</f>
        <v>100000</v>
      </c>
      <c r="M103" s="208">
        <v>100000</v>
      </c>
      <c r="N103" s="258">
        <f t="shared" ref="N103" si="15">M103*D103</f>
        <v>100000</v>
      </c>
      <c r="O103" s="220" t="e">
        <f>(#REF!/E103)-1</f>
        <v>#REF!</v>
      </c>
      <c r="P103" s="221" t="e">
        <f>(#REF!/F103)-1</f>
        <v>#REF!</v>
      </c>
      <c r="Q103" s="190"/>
      <c r="R103" s="215"/>
      <c r="S103" s="215"/>
    </row>
    <row r="104" spans="1:19" x14ac:dyDescent="0.3">
      <c r="A104" s="184" t="s">
        <v>62</v>
      </c>
      <c r="B104" s="211" t="s">
        <v>80</v>
      </c>
      <c r="C104" s="184" t="s">
        <v>2</v>
      </c>
      <c r="D104" s="185">
        <v>1</v>
      </c>
      <c r="E104" s="185"/>
      <c r="F104" s="186"/>
      <c r="G104" s="185">
        <v>485000</v>
      </c>
      <c r="H104" s="186">
        <f>G104*D104</f>
        <v>485000</v>
      </c>
      <c r="I104" s="185">
        <v>485000</v>
      </c>
      <c r="J104" s="206">
        <f>I104*D104</f>
        <v>485000</v>
      </c>
      <c r="K104" s="207">
        <v>485000</v>
      </c>
      <c r="L104" s="186">
        <f>K104*D104</f>
        <v>485000</v>
      </c>
      <c r="M104" s="208">
        <v>485000</v>
      </c>
      <c r="N104" s="185">
        <f>M104*D104</f>
        <v>485000</v>
      </c>
      <c r="O104" s="243" t="e">
        <f>(#REF!/E104)-1</f>
        <v>#REF!</v>
      </c>
      <c r="P104" s="244" t="e">
        <f>(#REF!/F104)-1</f>
        <v>#REF!</v>
      </c>
      <c r="Q104" s="190"/>
      <c r="R104" s="215"/>
      <c r="S104" s="215"/>
    </row>
    <row r="105" spans="1:19" x14ac:dyDescent="0.3">
      <c r="A105" s="184" t="s">
        <v>61</v>
      </c>
      <c r="B105" s="211" t="s">
        <v>100</v>
      </c>
      <c r="C105" s="184" t="s">
        <v>8</v>
      </c>
      <c r="D105" s="185">
        <v>6</v>
      </c>
      <c r="E105" s="185"/>
      <c r="F105" s="186"/>
      <c r="G105" s="185">
        <v>485000</v>
      </c>
      <c r="H105" s="186">
        <f>G105*D105</f>
        <v>2910000</v>
      </c>
      <c r="I105" s="185">
        <v>485000</v>
      </c>
      <c r="J105" s="206">
        <f>I105*D105</f>
        <v>2910000</v>
      </c>
      <c r="K105" s="207">
        <v>485000</v>
      </c>
      <c r="L105" s="186">
        <f>K105*D105</f>
        <v>2910000</v>
      </c>
      <c r="M105" s="208">
        <v>485000</v>
      </c>
      <c r="N105" s="185">
        <f>M105*D105</f>
        <v>2910000</v>
      </c>
      <c r="O105" s="243" t="e">
        <f>(#REF!/E105)-1</f>
        <v>#REF!</v>
      </c>
      <c r="P105" s="244" t="e">
        <f>(#REF!/F105)-1</f>
        <v>#REF!</v>
      </c>
      <c r="Q105" s="190"/>
      <c r="R105" s="215"/>
      <c r="S105" s="215"/>
    </row>
    <row r="106" spans="1:19" x14ac:dyDescent="0.3">
      <c r="A106" s="340"/>
      <c r="B106" s="343"/>
      <c r="C106" s="239"/>
      <c r="D106" s="341"/>
      <c r="E106" s="240"/>
      <c r="F106" s="342"/>
      <c r="G106" s="215"/>
      <c r="H106" s="191"/>
      <c r="I106" s="215"/>
      <c r="J106" s="191"/>
      <c r="K106" s="215"/>
      <c r="L106" s="191"/>
      <c r="M106" s="215"/>
      <c r="N106" s="332"/>
      <c r="O106" s="288"/>
      <c r="P106" s="289"/>
      <c r="Q106" s="190"/>
    </row>
    <row r="107" spans="1:19" x14ac:dyDescent="0.3">
      <c r="A107" s="182" t="s">
        <v>102</v>
      </c>
      <c r="B107" s="261" t="s">
        <v>53</v>
      </c>
      <c r="C107" s="184"/>
      <c r="D107" s="185"/>
      <c r="E107" s="185"/>
      <c r="F107" s="185"/>
      <c r="G107" s="185"/>
      <c r="H107" s="185"/>
      <c r="I107" s="185"/>
      <c r="J107" s="206"/>
      <c r="K107" s="207"/>
      <c r="L107" s="186"/>
      <c r="M107" s="208"/>
      <c r="N107" s="185"/>
      <c r="O107" s="209" t="e">
        <f>(#REF!/E107)-1</f>
        <v>#REF!</v>
      </c>
      <c r="P107" s="210" t="e">
        <f>(#REF!/F107)-1</f>
        <v>#REF!</v>
      </c>
      <c r="Q107" s="190"/>
      <c r="R107" s="215"/>
      <c r="S107" s="215"/>
    </row>
    <row r="108" spans="1:19" ht="26" x14ac:dyDescent="0.3">
      <c r="A108" s="184" t="s">
        <v>104</v>
      </c>
      <c r="B108" s="211" t="s">
        <v>124</v>
      </c>
      <c r="C108" s="184" t="s">
        <v>2</v>
      </c>
      <c r="D108" s="185">
        <v>2</v>
      </c>
      <c r="E108" s="185"/>
      <c r="F108" s="186"/>
      <c r="G108" s="185">
        <v>260000</v>
      </c>
      <c r="H108" s="186">
        <f>G108*D108</f>
        <v>520000</v>
      </c>
      <c r="I108" s="185">
        <v>260000</v>
      </c>
      <c r="J108" s="206">
        <f>I108*D108</f>
        <v>520000</v>
      </c>
      <c r="K108" s="207">
        <v>260000</v>
      </c>
      <c r="L108" s="186">
        <f>K108*D108</f>
        <v>520000</v>
      </c>
      <c r="M108" s="208">
        <v>260000</v>
      </c>
      <c r="N108" s="258">
        <f>M108*D108</f>
        <v>520000</v>
      </c>
      <c r="O108" s="243" t="e">
        <f>(#REF!/E108)-1</f>
        <v>#REF!</v>
      </c>
      <c r="P108" s="244" t="e">
        <f>(#REF!/F108)-1</f>
        <v>#REF!</v>
      </c>
      <c r="Q108" s="190"/>
      <c r="R108" s="215"/>
      <c r="S108" s="215"/>
    </row>
    <row r="109" spans="1:19" ht="26" x14ac:dyDescent="0.3">
      <c r="A109" s="184" t="s">
        <v>105</v>
      </c>
      <c r="B109" s="211" t="s">
        <v>57</v>
      </c>
      <c r="C109" s="184" t="s">
        <v>2</v>
      </c>
      <c r="D109" s="185">
        <v>1</v>
      </c>
      <c r="E109" s="185"/>
      <c r="F109" s="186"/>
      <c r="G109" s="185">
        <v>225000</v>
      </c>
      <c r="H109" s="186">
        <f t="shared" ref="H109:H110" si="16">G109*D109</f>
        <v>225000</v>
      </c>
      <c r="I109" s="185">
        <v>909724</v>
      </c>
      <c r="J109" s="206">
        <f t="shared" ref="J109:J110" si="17">I109*D109</f>
        <v>909724</v>
      </c>
      <c r="K109" s="207">
        <v>180000</v>
      </c>
      <c r="L109" s="186">
        <f t="shared" ref="L109:L110" si="18">K109*D109</f>
        <v>180000</v>
      </c>
      <c r="M109" s="208">
        <v>250000</v>
      </c>
      <c r="N109" s="258">
        <f t="shared" ref="N109:N110" si="19">M109*D109</f>
        <v>250000</v>
      </c>
      <c r="O109" s="214" t="e">
        <f>(#REF!/E109)-1</f>
        <v>#REF!</v>
      </c>
      <c r="P109" s="189" t="e">
        <f>(#REF!/F109)-1</f>
        <v>#REF!</v>
      </c>
      <c r="Q109" s="299"/>
      <c r="R109" s="215"/>
      <c r="S109" s="215"/>
    </row>
    <row r="110" spans="1:19" x14ac:dyDescent="0.3">
      <c r="A110" s="184" t="s">
        <v>107</v>
      </c>
      <c r="B110" s="216" t="s">
        <v>73</v>
      </c>
      <c r="C110" s="184" t="s">
        <v>6</v>
      </c>
      <c r="D110" s="185">
        <v>1</v>
      </c>
      <c r="E110" s="185"/>
      <c r="F110" s="186"/>
      <c r="G110" s="217">
        <v>250000</v>
      </c>
      <c r="H110" s="218">
        <f t="shared" si="16"/>
        <v>250000</v>
      </c>
      <c r="I110" s="217">
        <v>250000</v>
      </c>
      <c r="J110" s="219">
        <f t="shared" si="17"/>
        <v>250000</v>
      </c>
      <c r="K110" s="207">
        <v>250000</v>
      </c>
      <c r="L110" s="186">
        <f t="shared" si="18"/>
        <v>250000</v>
      </c>
      <c r="M110" s="208">
        <v>250000</v>
      </c>
      <c r="N110" s="185">
        <f t="shared" si="19"/>
        <v>250000</v>
      </c>
      <c r="O110" s="220" t="e">
        <f>(#REF!/E110)-1</f>
        <v>#REF!</v>
      </c>
      <c r="P110" s="221" t="e">
        <f>(#REF!/F110)-1</f>
        <v>#REF!</v>
      </c>
      <c r="Q110" s="190"/>
      <c r="R110" s="215"/>
      <c r="S110" s="215"/>
    </row>
    <row r="111" spans="1:19" x14ac:dyDescent="0.3">
      <c r="A111" s="301"/>
      <c r="B111" s="340"/>
      <c r="C111" s="239"/>
      <c r="D111" s="341"/>
      <c r="E111" s="240"/>
      <c r="F111" s="342"/>
      <c r="G111" s="215"/>
      <c r="H111" s="191"/>
      <c r="I111" s="215"/>
      <c r="J111" s="191"/>
      <c r="K111" s="215"/>
      <c r="L111" s="191"/>
      <c r="M111" s="215"/>
      <c r="N111" s="332"/>
      <c r="O111" s="288"/>
      <c r="P111" s="289"/>
      <c r="Q111" s="190"/>
    </row>
    <row r="112" spans="1:19" x14ac:dyDescent="0.3">
      <c r="A112" s="182" t="s">
        <v>24</v>
      </c>
      <c r="B112" s="183" t="s">
        <v>75</v>
      </c>
      <c r="C112" s="184"/>
      <c r="D112" s="185"/>
      <c r="E112" s="185"/>
      <c r="F112" s="185"/>
      <c r="G112" s="185"/>
      <c r="H112" s="185"/>
      <c r="I112" s="185"/>
      <c r="J112" s="206"/>
      <c r="K112" s="207"/>
      <c r="L112" s="186"/>
      <c r="M112" s="208"/>
      <c r="N112" s="185"/>
      <c r="O112" s="209" t="e">
        <f>(#REF!/E112)-1</f>
        <v>#REF!</v>
      </c>
      <c r="P112" s="210" t="e">
        <f>(#REF!/F112)-1</f>
        <v>#REF!</v>
      </c>
      <c r="Q112" s="190"/>
      <c r="R112" s="215"/>
      <c r="S112" s="215"/>
    </row>
    <row r="113" spans="1:19" ht="26" x14ac:dyDescent="0.3">
      <c r="A113" s="184" t="s">
        <v>94</v>
      </c>
      <c r="B113" s="211" t="s">
        <v>126</v>
      </c>
      <c r="C113" s="184" t="s">
        <v>2</v>
      </c>
      <c r="D113" s="185">
        <v>1</v>
      </c>
      <c r="E113" s="185"/>
      <c r="F113" s="186"/>
      <c r="G113" s="185"/>
      <c r="H113" s="186"/>
      <c r="I113" s="185"/>
      <c r="J113" s="206"/>
      <c r="K113" s="207"/>
      <c r="L113" s="186"/>
      <c r="M113" s="208"/>
      <c r="N113" s="185"/>
      <c r="O113" s="243"/>
      <c r="P113" s="244"/>
      <c r="Q113" s="190"/>
      <c r="R113" s="215"/>
      <c r="S113" s="215"/>
    </row>
    <row r="114" spans="1:19" ht="13.5" thickBot="1" x14ac:dyDescent="0.35">
      <c r="A114" s="192"/>
      <c r="B114" s="238"/>
      <c r="C114" s="239"/>
      <c r="D114" s="240"/>
      <c r="E114" s="240"/>
      <c r="F114" s="241"/>
      <c r="G114" s="240"/>
      <c r="H114" s="241"/>
      <c r="I114" s="240"/>
      <c r="J114" s="240"/>
      <c r="K114" s="262"/>
      <c r="L114" s="263"/>
      <c r="M114" s="240"/>
      <c r="N114" s="208"/>
      <c r="O114" s="240"/>
      <c r="P114" s="208"/>
      <c r="Q114" s="195"/>
    </row>
    <row r="115" spans="1:19" ht="13.5" thickBot="1" x14ac:dyDescent="0.35">
      <c r="A115" s="463" t="s">
        <v>141</v>
      </c>
      <c r="B115" s="464"/>
      <c r="C115" s="464"/>
      <c r="D115" s="464"/>
      <c r="E115" s="465"/>
      <c r="F115" s="333"/>
      <c r="G115" s="251"/>
      <c r="H115" s="201">
        <f>SUM(H88:H113)</f>
        <v>71613821</v>
      </c>
      <c r="I115" s="251"/>
      <c r="J115" s="201">
        <f>SUM(J88:J113)</f>
        <v>79408909.640000001</v>
      </c>
      <c r="K115" s="251"/>
      <c r="L115" s="201">
        <f>SUM(L88:L91)</f>
        <v>46719400</v>
      </c>
      <c r="M115" s="251"/>
      <c r="N115" s="203">
        <f>SUM(N88:N113)</f>
        <v>59557513</v>
      </c>
      <c r="O115" s="202"/>
      <c r="P115" s="264" t="e">
        <f>(#REF!/F115)-1</f>
        <v>#REF!</v>
      </c>
      <c r="Q115" s="190"/>
    </row>
    <row r="116" spans="1:19" x14ac:dyDescent="0.3">
      <c r="A116" s="334"/>
      <c r="B116" s="335"/>
      <c r="C116" s="335"/>
      <c r="D116" s="335"/>
      <c r="E116" s="335"/>
      <c r="F116" s="336"/>
      <c r="G116" s="233"/>
      <c r="H116" s="265"/>
      <c r="I116" s="233"/>
      <c r="J116" s="266"/>
      <c r="K116" s="267"/>
      <c r="L116" s="265"/>
      <c r="M116" s="233"/>
      <c r="N116" s="268"/>
      <c r="O116" s="233"/>
      <c r="P116" s="268"/>
      <c r="Q116" s="195"/>
    </row>
    <row r="117" spans="1:19" ht="13.5" thickBot="1" x14ac:dyDescent="0.35">
      <c r="A117" s="337"/>
      <c r="B117" s="338"/>
      <c r="C117" s="338"/>
      <c r="D117" s="338"/>
      <c r="E117" s="338"/>
      <c r="F117" s="339"/>
      <c r="H117" s="269"/>
      <c r="J117" s="269"/>
      <c r="K117" s="270"/>
      <c r="L117" s="271"/>
      <c r="N117" s="272"/>
      <c r="P117" s="272"/>
    </row>
    <row r="118" spans="1:19" ht="13.5" thickBot="1" x14ac:dyDescent="0.35">
      <c r="A118" s="274"/>
      <c r="B118" s="275"/>
      <c r="C118" s="276"/>
      <c r="D118" s="277"/>
      <c r="E118" s="278"/>
      <c r="F118" s="279"/>
      <c r="G118" s="278"/>
      <c r="H118" s="279"/>
      <c r="I118" s="278"/>
      <c r="J118" s="279"/>
      <c r="K118" s="331"/>
      <c r="L118" s="280"/>
      <c r="M118" s="278"/>
      <c r="N118" s="281"/>
      <c r="O118" s="278"/>
      <c r="P118" s="281"/>
      <c r="Q118" s="195"/>
    </row>
    <row r="119" spans="1:19" x14ac:dyDescent="0.3">
      <c r="A119" s="438" t="s">
        <v>146</v>
      </c>
      <c r="B119" s="439"/>
      <c r="C119" s="316"/>
      <c r="D119" s="317"/>
      <c r="E119" s="318"/>
      <c r="F119" s="442"/>
      <c r="G119" s="282"/>
      <c r="H119" s="444" t="e">
        <f>H115+H83+#REF!+H51</f>
        <v>#REF!</v>
      </c>
      <c r="I119" s="282"/>
      <c r="J119" s="444" t="e">
        <f>J115+J83+#REF!+J51</f>
        <v>#REF!</v>
      </c>
      <c r="K119" s="282"/>
      <c r="L119" s="444" t="e">
        <f>L115+L83+#REF!+L51</f>
        <v>#REF!</v>
      </c>
      <c r="M119" s="282"/>
      <c r="N119" s="446" t="e">
        <f>N115+N83+#REF!+N51</f>
        <v>#REF!</v>
      </c>
      <c r="O119" s="425"/>
      <c r="P119" s="427" t="e">
        <f>(#REF!/F119)-1</f>
        <v>#REF!</v>
      </c>
      <c r="Q119" s="190"/>
    </row>
    <row r="120" spans="1:19" x14ac:dyDescent="0.3">
      <c r="A120" s="440"/>
      <c r="B120" s="441"/>
      <c r="C120" s="283"/>
      <c r="D120" s="284"/>
      <c r="E120" s="285"/>
      <c r="F120" s="443"/>
      <c r="G120" s="285"/>
      <c r="H120" s="445"/>
      <c r="I120" s="285"/>
      <c r="J120" s="445"/>
      <c r="K120" s="285"/>
      <c r="L120" s="445"/>
      <c r="M120" s="285"/>
      <c r="N120" s="443"/>
      <c r="O120" s="426"/>
      <c r="P120" s="428"/>
      <c r="Q120" s="190"/>
    </row>
    <row r="121" spans="1:19" x14ac:dyDescent="0.3">
      <c r="A121" s="286"/>
      <c r="B121" s="286"/>
      <c r="C121" s="226"/>
      <c r="D121" s="287"/>
      <c r="E121" s="215"/>
      <c r="F121" s="191"/>
      <c r="G121" s="215"/>
      <c r="H121" s="191"/>
      <c r="I121" s="215"/>
      <c r="J121" s="191"/>
      <c r="K121" s="215"/>
      <c r="L121" s="191"/>
      <c r="M121" s="215"/>
      <c r="N121" s="191"/>
      <c r="O121" s="288"/>
      <c r="P121" s="289"/>
      <c r="Q121" s="190"/>
    </row>
    <row r="122" spans="1:19" x14ac:dyDescent="0.3">
      <c r="A122" s="180"/>
      <c r="B122" s="180"/>
      <c r="C122" s="180"/>
      <c r="D122" s="180"/>
      <c r="E122" s="300"/>
      <c r="F122" s="180"/>
      <c r="G122" s="30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1"/>
    </row>
    <row r="123" spans="1:19" x14ac:dyDescent="0.3">
      <c r="B123" s="164"/>
      <c r="C123" s="421"/>
      <c r="D123" s="421"/>
      <c r="E123" s="421"/>
      <c r="F123" s="421"/>
      <c r="H123" s="269"/>
      <c r="I123" s="269"/>
      <c r="J123" s="269"/>
      <c r="K123" s="269"/>
      <c r="L123" s="269"/>
      <c r="M123" s="269"/>
      <c r="N123" s="269"/>
      <c r="O123" s="269"/>
      <c r="P123" s="269"/>
    </row>
    <row r="125" spans="1:19" x14ac:dyDescent="0.3">
      <c r="C125" s="421"/>
      <c r="D125" s="422"/>
      <c r="E125" s="422"/>
      <c r="F125" s="422"/>
      <c r="H125" s="269"/>
      <c r="I125" s="269"/>
      <c r="J125" s="269"/>
      <c r="K125" s="269"/>
      <c r="L125" s="269"/>
      <c r="M125" s="269"/>
      <c r="N125" s="269"/>
      <c r="O125" s="269"/>
      <c r="P125" s="269"/>
    </row>
    <row r="126" spans="1:19" x14ac:dyDescent="0.3">
      <c r="C126" s="421"/>
      <c r="D126" s="422"/>
      <c r="E126" s="422"/>
      <c r="F126" s="422"/>
    </row>
    <row r="127" spans="1:19" x14ac:dyDescent="0.3">
      <c r="C127" s="423"/>
      <c r="D127" s="424"/>
      <c r="E127" s="424"/>
      <c r="F127" s="424"/>
    </row>
  </sheetData>
  <mergeCells count="108">
    <mergeCell ref="A4:F5"/>
    <mergeCell ref="G4:H5"/>
    <mergeCell ref="I4:J5"/>
    <mergeCell ref="K4:L5"/>
    <mergeCell ref="M4:N5"/>
    <mergeCell ref="O4:P5"/>
    <mergeCell ref="A15:E15"/>
    <mergeCell ref="A16:F16"/>
    <mergeCell ref="G16:H16"/>
    <mergeCell ref="I16:J16"/>
    <mergeCell ref="K16:L16"/>
    <mergeCell ref="M16:N16"/>
    <mergeCell ref="O6:P6"/>
    <mergeCell ref="A14:F14"/>
    <mergeCell ref="G14:H14"/>
    <mergeCell ref="I14:J14"/>
    <mergeCell ref="K14:L14"/>
    <mergeCell ref="M14:N14"/>
    <mergeCell ref="O14:P14"/>
    <mergeCell ref="A6:F6"/>
    <mergeCell ref="G6:H6"/>
    <mergeCell ref="I6:J6"/>
    <mergeCell ref="K6:L6"/>
    <mergeCell ref="M6:N6"/>
    <mergeCell ref="O16:P16"/>
    <mergeCell ref="A17:F18"/>
    <mergeCell ref="G17:H18"/>
    <mergeCell ref="I17:J18"/>
    <mergeCell ref="K17:L18"/>
    <mergeCell ref="M17:N18"/>
    <mergeCell ref="O17:P18"/>
    <mergeCell ref="O19:P19"/>
    <mergeCell ref="A37:E37"/>
    <mergeCell ref="A38:F38"/>
    <mergeCell ref="G38:H38"/>
    <mergeCell ref="I38:J38"/>
    <mergeCell ref="K38:L38"/>
    <mergeCell ref="M38:N38"/>
    <mergeCell ref="O38:P38"/>
    <mergeCell ref="A19:F19"/>
    <mergeCell ref="G19:H19"/>
    <mergeCell ref="I19:J19"/>
    <mergeCell ref="K19:L19"/>
    <mergeCell ref="M19:N19"/>
    <mergeCell ref="A57:E57"/>
    <mergeCell ref="A58:F58"/>
    <mergeCell ref="G58:H58"/>
    <mergeCell ref="I58:J58"/>
    <mergeCell ref="K58:L58"/>
    <mergeCell ref="M58:N58"/>
    <mergeCell ref="O39:P40"/>
    <mergeCell ref="A41:F41"/>
    <mergeCell ref="G41:H41"/>
    <mergeCell ref="I41:J41"/>
    <mergeCell ref="K41:L41"/>
    <mergeCell ref="M41:N41"/>
    <mergeCell ref="O41:P41"/>
    <mergeCell ref="A39:F40"/>
    <mergeCell ref="G39:H40"/>
    <mergeCell ref="I39:J40"/>
    <mergeCell ref="K39:L40"/>
    <mergeCell ref="M39:N40"/>
    <mergeCell ref="O58:P58"/>
    <mergeCell ref="A59:F60"/>
    <mergeCell ref="G59:H60"/>
    <mergeCell ref="I59:J60"/>
    <mergeCell ref="K59:L60"/>
    <mergeCell ref="M59:N60"/>
    <mergeCell ref="O59:P60"/>
    <mergeCell ref="C123:F123"/>
    <mergeCell ref="A95:N95"/>
    <mergeCell ref="G96:H97"/>
    <mergeCell ref="I96:J97"/>
    <mergeCell ref="K96:L97"/>
    <mergeCell ref="M96:N97"/>
    <mergeCell ref="O96:P97"/>
    <mergeCell ref="A115:E115"/>
    <mergeCell ref="A119:B120"/>
    <mergeCell ref="H119:H120"/>
    <mergeCell ref="J119:J120"/>
    <mergeCell ref="L119:L120"/>
    <mergeCell ref="N119:N120"/>
    <mergeCell ref="O119:O120"/>
    <mergeCell ref="P119:P120"/>
    <mergeCell ref="E1:E2"/>
    <mergeCell ref="E93:E94"/>
    <mergeCell ref="C125:F125"/>
    <mergeCell ref="C126:F126"/>
    <mergeCell ref="C127:F127"/>
    <mergeCell ref="O89:O90"/>
    <mergeCell ref="P89:P90"/>
    <mergeCell ref="O61:P61"/>
    <mergeCell ref="G63:G65"/>
    <mergeCell ref="H63:H65"/>
    <mergeCell ref="A86:E86"/>
    <mergeCell ref="A89:B90"/>
    <mergeCell ref="F89:F90"/>
    <mergeCell ref="H89:H90"/>
    <mergeCell ref="J89:J90"/>
    <mergeCell ref="L89:L90"/>
    <mergeCell ref="N89:N90"/>
    <mergeCell ref="A61:F61"/>
    <mergeCell ref="G61:H61"/>
    <mergeCell ref="I61:J61"/>
    <mergeCell ref="K61:L61"/>
    <mergeCell ref="M61:N61"/>
    <mergeCell ref="A96:F97"/>
    <mergeCell ref="F119:F120"/>
  </mergeCells>
  <phoneticPr fontId="14" type="noConversion"/>
  <conditionalFormatting sqref="C127:F127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0.25" right="0.25" top="0.75" bottom="0.75" header="0.3" footer="0.3"/>
  <pageSetup paperSize="9" scale="79" fitToHeight="0" orientation="portrait" r:id="rId1"/>
  <headerFooter alignWithMargins="0">
    <oddHeader xml:space="preserve">&amp;L&amp;11Mairie OUVEA&amp;C&amp;"Arial,Gras"&amp;14Bâtiment administratif des docks municipaux&amp;RDCE </oddHeader>
    <oddFooter>&amp;LDCE&amp;CPage &amp;P/&amp;N&amp;R&amp;D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SUCCINCT</vt:lpstr>
      <vt:lpstr>DPGF vBF</vt:lpstr>
      <vt:lpstr>'DPGF vBF'!Print_Area</vt:lpstr>
      <vt:lpstr>SUCCINCT!Print_Area</vt:lpstr>
      <vt:lpstr>'DPGF vBF'!Print_Titles</vt:lpstr>
      <vt:lpstr>SUCCINCT!Print_Titles</vt:lpstr>
    </vt:vector>
  </TitlesOfParts>
  <Company>NCPROJECT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Jean-Marc</dc:creator>
  <cp:lastModifiedBy>Maraea S Pogi</cp:lastModifiedBy>
  <cp:lastPrinted>2025-07-16T23:48:01Z</cp:lastPrinted>
  <dcterms:created xsi:type="dcterms:W3CDTF">2001-12-12T07:08:36Z</dcterms:created>
  <dcterms:modified xsi:type="dcterms:W3CDTF">2025-11-28T00:31:46Z</dcterms:modified>
</cp:coreProperties>
</file>